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030" windowHeight="1290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  <sheet name="Лист3" sheetId="5" state="hidden" r:id="rId5"/>
    <sheet name="Лист4" sheetId="6" state="hidden" r:id="rId6"/>
    <sheet name="Лист5" sheetId="7" state="hidden" r:id="rId7"/>
    <sheet name="Лист6" sheetId="8" state="hidden" r:id="rId8"/>
    <sheet name="Лист7" sheetId="9" state="hidden" r:id="rId9"/>
    <sheet name="Лист8" sheetId="10" r:id="rId10"/>
    <sheet name="Лист9" sheetId="11" r:id="rId11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<sst xmlns="http://schemas.openxmlformats.org/spreadsheetml/2006/main" count="1366" uniqueCount="409">
  <si>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</si>
  <si>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</si>
  <si>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</si>
  <si>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</si>
  <si>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</si>
  <si>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</si>
  <si>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</si>
  <si>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</si>
  <si>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</si>
  <si>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</si>
  <si>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</si>
  <si>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</si>
  <si>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</si>
  <si>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</si>
  <si>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</si>
  <si>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</si>
  <si>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</si>
  <si>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</si>
  <si>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</si>
  <si>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</si>
  <si>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</si>
  <si>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</si>
  <si>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</si>
  <si>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</si>
  <si>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</si>
  <si>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</si>
  <si>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</si>
  <si>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</si>
  <si>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</si>
  <si>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</si>
  <si>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</si>
  <si>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</si>
  <si>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</si>
  <si>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</si>
  <si>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</si>
  <si>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</si>
  <si>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</si>
  <si>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</si>
  <si>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</si>
  <si>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</si>
  <si>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</si>
  <si>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</si>
  <si>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</si>
  <si>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</si>
  <si>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</si>
  <si>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</si>
  <si>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</si>
  <si>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</si>
  <si>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</si>
  <si>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</si>
  <si>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</si>
  <si>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</si>
  <si>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</si>
  <si>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</si>
  <si>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</si>
  <si>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</si>
  <si>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</si>
  <si>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</si>
  <si>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</si>
  <si>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</si>
  <si>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</si>
  <si>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</si>
  <si>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</si>
  <si>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</si>
  <si>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</si>
  <si>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</si>
  <si>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</si>
  <si>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</si>
  <si>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</si>
  <si>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</si>
  <si>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</si>
  <si>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</si>
  <si>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</si>
  <si>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</si>
  <si>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</si>
  <si>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</si>
  <si>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</si>
  <si>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</si>
  <si>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</si>
  <si>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</si>
  <si>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</si>
  <si>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</si>
  <si>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</si>
  <si>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</si>
  <si>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</si>
  <si>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</si>
  <si>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</si>
  <si>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</si>
  <si>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</si>
  <si>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</si>
  <si>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</si>
  <si>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</si>
  <si>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</si>
  <si>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</si>
  <si>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</si>
  <si>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</si>
  <si>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</si>
  <si>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</si>
  <si>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</si>
  <si>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</si>
  <si>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</si>
  <si>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</si>
  <si>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</si>
  <si>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</si>
  <si>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</si>
  <si>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</si>
  <si>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</si>
  <si>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</si>
  <si>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</si>
  <si>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</si>
  <si>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</si>
  <si>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</si>
  <si>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</si>
  <si>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</si>
  <si>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</si>
  <si>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</si>
  <si>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</si>
  <si>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</si>
  <si>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</si>
  <si>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</si>
  <si>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</si>
  <si>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</si>
  <si>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</si>
  <si>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</si>
  <si>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</si>
  <si>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</si>
  <si>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</si>
  <si>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</si>
  <si>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</si>
  <si>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</si>
  <si>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</si>
  <si>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</si>
  <si>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</si>
  <si>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</si>
  <si>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</si>
  <si>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</si>
  <si>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</si>
  <si>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</si>
  <si>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</si>
  <si>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</si>
  <si>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</si>
  <si>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</si>
  <si>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</si>
  <si>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</si>
  <si>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</si>
  <si>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</si>
  <si>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</si>
  <si>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</si>
  <si>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</si>
  <si>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</si>
  <si>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</si>
  <si>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</si>
  <si>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</si>
  <si>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</si>
  <si>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</si>
  <si>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</si>
  <si>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</si>
  <si>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</si>
  <si>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</si>
  <si>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</si>
  <si>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</si>
  <si>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</si>
  <si>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</si>
  <si>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</si>
  <si>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</si>
  <si>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</si>
  <si>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</si>
  <si>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</si>
  <si>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</si>
  <si>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</si>
  <si>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</si>
  <si>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</si>
  <si>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</si>
  <si>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</si>
  <si>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</si>
  <si>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</si>
  <si>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</si>
  <si>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</si>
  <si>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</si>
  <si>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</si>
  <si>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</si>
  <si>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</si>
  <si>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Основные показатели, представляемые для разработки прогноза социально-экономического развития  Российской Федерации на 2020 год и на плановый период 2021-2024 годов</t>
  </si>
  <si>
    <t>базовый*</t>
  </si>
  <si>
    <t>Чебаркульский городской округ</t>
  </si>
  <si>
    <t>Оплата труда наемных работников</t>
  </si>
  <si>
    <t>номинальная начисленная среднемесячная заработная плата работников организаций</t>
  </si>
  <si>
    <t>руб/мес</t>
  </si>
  <si>
    <t>% г/г</t>
  </si>
  <si>
    <t>темп роста по сценарию РФ</t>
  </si>
  <si>
    <t xml:space="preserve">Среднесписочная численность работников организаций (без СМП) </t>
  </si>
  <si>
    <t xml:space="preserve">численность работников, занятых на малых и средних предприятиях (включая индивидуальных предпринимателей) </t>
  </si>
  <si>
    <t>к-во СМСП на конец года по реестру</t>
  </si>
  <si>
    <t>Все население</t>
  </si>
  <si>
    <t>мужчины и женщины</t>
  </si>
  <si>
    <t>мужчины</t>
  </si>
  <si>
    <t>женщины</t>
  </si>
  <si>
    <t>в том числе в возрасте, лет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</si>
  <si>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</si>
  <si>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</si>
  <si>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</si>
  <si>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</si>
  <si>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</si>
  <si>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</si>
  <si>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</si>
  <si>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</si>
  <si>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</si>
  <si>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</si>
  <si>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</si>
  <si>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</si>
  <si>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</si>
  <si>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</si>
  <si>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</si>
  <si>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</si>
  <si>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</si>
  <si>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</si>
  <si>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</si>
  <si>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</si>
  <si>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</si>
  <si>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</si>
  <si>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</si>
  <si>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</si>
  <si>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</si>
  <si>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</si>
  <si>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</si>
  <si>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</si>
  <si>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</si>
  <si>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</si>
  <si>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</si>
  <si>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</si>
  <si>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</si>
  <si>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</si>
  <si>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</si>
  <si>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</si>
  <si>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</si>
  <si>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</si>
  <si>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</si>
  <si>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</si>
  <si>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</si>
  <si>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</si>
  <si>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</si>
  <si>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</si>
  <si>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</si>
  <si>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</si>
  <si>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</si>
  <si>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</si>
  <si>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</si>
  <si>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</si>
  <si>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</si>
  <si>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</si>
  <si>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</si>
  <si>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</si>
  <si>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</si>
  <si>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</si>
  <si>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</si>
  <si>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</si>
  <si>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</si>
  <si>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</si>
  <si>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</si>
  <si>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</si>
  <si>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</si>
  <si>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</si>
  <si>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</si>
  <si>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</si>
  <si>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</si>
  <si>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</si>
  <si>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</si>
  <si>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</si>
  <si>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</si>
  <si>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</si>
  <si>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</si>
  <si>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</si>
  <si>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</si>
  <si>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</si>
  <si>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</si>
  <si>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</si>
  <si>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</si>
  <si>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</si>
  <si>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</si>
  <si>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</si>
  <si>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</si>
  <si>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</si>
  <si>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 лет и старше</t>
  </si>
  <si>
    <t>Итого</t>
  </si>
  <si>
    <t>в том числе в возрасте, лет:</t>
  </si>
  <si>
    <t>70 и старше</t>
  </si>
  <si>
    <t>Все население на 01.01.2017</t>
  </si>
  <si>
    <t>Все население на 01.01.2016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</si>
  <si>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</si>
  <si>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</si>
  <si>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</si>
  <si>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</si>
  <si>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</si>
  <si>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</si>
  <si>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</si>
  <si>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</si>
  <si>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</si>
  <si>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</si>
  <si>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</si>
  <si>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</si>
  <si>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</si>
  <si>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</si>
  <si>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</si>
  <si>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</si>
  <si>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</si>
  <si>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</si>
  <si>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 и старше</t>
  </si>
  <si>
    <t>Все население на 01.01.2018</t>
  </si>
  <si>
    <t>Все население на 01.01.2019</t>
  </si>
  <si>
    <t>Все население на 01.01.2020</t>
  </si>
  <si>
    <t>Все население на 01.01.2021</t>
  </si>
  <si>
    <t>Все население на 01.01.2022</t>
  </si>
  <si>
    <t>Для женщин будет действовать следующая возрастная сетка.</t>
  </si>
  <si>
    <t>Год рождения</t>
  </si>
  <si>
    <t>Сколько будет полных лет</t>
  </si>
  <si>
    <t>Время выхода на пенсию</t>
  </si>
  <si>
    <t>Начало 1964</t>
  </si>
  <si>
    <t>55.5</t>
  </si>
  <si>
    <t>После середины 2019</t>
  </si>
  <si>
    <t>Конец 1964</t>
  </si>
  <si>
    <t>Начало 2020</t>
  </si>
  <si>
    <t>Начало 1965</t>
  </si>
  <si>
    <t>56.5</t>
  </si>
  <si>
    <t>После середины 2021</t>
  </si>
  <si>
    <t>Конец 1965</t>
  </si>
  <si>
    <t>Начало 2022</t>
  </si>
  <si>
    <t>Возрастная сетка для мужчин выглядит так.</t>
  </si>
  <si>
    <t>Когда родился</t>
  </si>
  <si>
    <t>Пенсия</t>
  </si>
  <si>
    <t>Начало 1959</t>
  </si>
  <si>
    <t>60.5</t>
  </si>
  <si>
    <t>Конец 1959</t>
  </si>
  <si>
    <t>До середины 2020</t>
  </si>
  <si>
    <t>Начало 1960</t>
  </si>
  <si>
    <t>61.5</t>
  </si>
  <si>
    <t>Конец 1960</t>
  </si>
  <si>
    <t>До середины 2022</t>
  </si>
  <si>
    <t xml:space="preserve"> Источник: http://lgoty-vsem.ru/pensiya/pensionnaya-reforma/tablitsa-vyhoda-na-pensiyu.html</t>
  </si>
  <si>
    <t>Все население на 01.01.2023</t>
  </si>
  <si>
    <t>Все население на 01.01.2024</t>
  </si>
  <si>
    <t>трудоспос возраст</t>
  </si>
  <si>
    <t>итого труд возр</t>
  </si>
  <si>
    <t>миграция трудоспос возраста (75,36%)</t>
  </si>
  <si>
    <t>умерло в трудоспос возра (34,7%)</t>
  </si>
  <si>
    <t>Все население на 01.01.2025</t>
  </si>
  <si>
    <t>консерв вариант</t>
  </si>
  <si>
    <t>ИД</t>
  </si>
  <si>
    <t>ИФО РФ</t>
  </si>
  <si>
    <t>ИФО ЧГО</t>
  </si>
  <si>
    <t>15 лет</t>
  </si>
  <si>
    <t>8й класс</t>
  </si>
  <si>
    <t xml:space="preserve">9й класс </t>
  </si>
  <si>
    <t>выпуск 114,6% от 16 лет</t>
  </si>
  <si>
    <t>10й класс</t>
  </si>
  <si>
    <t>техникум</t>
  </si>
  <si>
    <t xml:space="preserve">11й класс </t>
  </si>
  <si>
    <t>выпуск 44,3% от 18 лет</t>
  </si>
  <si>
    <t>выпуск 44,3% от 17 лет</t>
  </si>
  <si>
    <t>учащиеся школ</t>
  </si>
  <si>
    <t>выпускники в ВУЗах</t>
  </si>
  <si>
    <t>всего учащиеся</t>
  </si>
  <si>
    <t>работающие пенсионеры 22%</t>
  </si>
  <si>
    <t>моложе тредоспос возраста</t>
  </si>
  <si>
    <t>старше трудоспособн возраста</t>
  </si>
  <si>
    <t>Численность трудовых ресурсов</t>
  </si>
  <si>
    <t>трудоспособное население в трудоспособном возрасте</t>
  </si>
  <si>
    <t>иностранные трудовые мигранты</t>
  </si>
  <si>
    <t>лица старше трудоспособного возраста и подростки, занятые в экономике</t>
  </si>
  <si>
    <t>Распределение численности трудовых ресурсов</t>
  </si>
  <si>
    <t>2. Учащиеся в трудоспособном возрасте, обучающиеся с отрывом от работы</t>
  </si>
  <si>
    <t>3. Трудоспособное население в трудоспособном возрасте:</t>
  </si>
  <si>
    <t>1. Среднегодовая численность занятых в экономике, в том числе: по видам экономической деятельности (с 2017 г. - по ОКВЭД2)</t>
  </si>
  <si>
    <t>не работающие пенсионеры</t>
  </si>
  <si>
    <t xml:space="preserve">     подростки</t>
  </si>
  <si>
    <t xml:space="preserve">      военнослужащие, российские граждане, работающие за границей, безработные, домохозяйки и др. население</t>
  </si>
  <si>
    <t xml:space="preserve">      в процентах к трудовым ресурсам</t>
  </si>
  <si>
    <t>в организациях - юридических лицах</t>
  </si>
  <si>
    <t xml:space="preserve">    по трудовому договору</t>
  </si>
  <si>
    <t xml:space="preserve">    по договорам гражданско-правового характера</t>
  </si>
  <si>
    <t xml:space="preserve">    помогающие члены семьи</t>
  </si>
  <si>
    <t>в сфере предпринимательской деятельности, включая фермерские хозяйства (без занятых в домашнем хозяйстве производством продукции для реализации) и у физических лиц</t>
  </si>
  <si>
    <t xml:space="preserve">     предприниматели</t>
  </si>
  <si>
    <t xml:space="preserve">     наемные работники</t>
  </si>
  <si>
    <t xml:space="preserve">     помогающие члены семей</t>
  </si>
  <si>
    <t>занятые в домашнем хозяйстве производством продукции для реализации</t>
  </si>
  <si>
    <t>иностранные работники</t>
  </si>
  <si>
    <t xml:space="preserve">    численность учащихся ВУЗов, техникума</t>
  </si>
  <si>
    <t>умерло в трудоспособном возрасте</t>
  </si>
  <si>
    <t>миграция трудоспособного населения (75,36%)</t>
  </si>
  <si>
    <t xml:space="preserve">     лица старше трудоспособного возраста (22%)</t>
  </si>
  <si>
    <t xml:space="preserve">     численность работающих инвалидов (19,6%)</t>
  </si>
  <si>
    <t xml:space="preserve">инвалиды </t>
  </si>
  <si>
    <t>в трудоспособ возр 50%</t>
  </si>
  <si>
    <r>
      <t xml:space="preserve">    численность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ИНВАЛИДОВ в трудоспособном возрасте</t>
    </r>
  </si>
  <si>
    <t>крупные и средние</t>
  </si>
  <si>
    <t>малые</t>
  </si>
  <si>
    <t>микро</t>
  </si>
  <si>
    <t>организации до 15 человек</t>
  </si>
  <si>
    <t>Доля численности работников, занятых на МСП (включая ИП) в общей численности трудоспособного населения на территории МО</t>
  </si>
  <si>
    <t>умерло старше труд возр</t>
  </si>
  <si>
    <t xml:space="preserve">    численность учащихся школ (15,16,17 лет)</t>
  </si>
  <si>
    <t xml:space="preserve">    численность населения в трудоспособном возрасте ПО ДЕМОГР ТАБЛИЦЕ</t>
  </si>
  <si>
    <t>численность населения в трудоспособном возрасте</t>
  </si>
  <si>
    <t>умерло старше труд возра</t>
  </si>
  <si>
    <t>экон актив население (с 15 до 72 лет)</t>
  </si>
  <si>
    <t>умерло</t>
  </si>
  <si>
    <t>миграция</t>
  </si>
  <si>
    <t xml:space="preserve">Объем продукции сельского хояйства </t>
  </si>
  <si>
    <t>Среднегодовая стоимость имущества, облагаемая налогом на имущество организаций в соответствии с пунктом 1 статьи 375 Налогового кодекса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</si>
</sst>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0.0000000"/>
    <numFmt numFmtId="182" formatCode="0.000000"/>
  </numFmts>
  <fonts count="81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 Cyr"/>
      <family val="2"/>
    </font>
    <font>
      <b/>
      <sz val="11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Arial Cyr"/>
      <family val="2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b/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67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 wrapText="1"/>
    </xf>
    <xf numFmtId="0" fontId="66" fillId="0" borderId="10" xfId="53" applyFont="1" applyBorder="1" applyAlignment="1">
      <alignment horizontal="center" vertical="center" wrapText="1"/>
      <protection/>
    </xf>
    <xf numFmtId="0" fontId="66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6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wrapText="1"/>
    </xf>
    <xf numFmtId="4" fontId="13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37" borderId="10" xfId="53" applyFont="1" applyFill="1" applyBorder="1" applyAlignment="1">
      <alignment horizontal="center" vertical="center" wrapText="1"/>
      <protection/>
    </xf>
    <xf numFmtId="0" fontId="13" fillId="37" borderId="10" xfId="53" applyFont="1" applyFill="1" applyBorder="1" applyAlignment="1">
      <alignment horizontal="left" vertical="center" wrapText="1"/>
      <protection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wrapText="1"/>
    </xf>
    <xf numFmtId="4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 applyProtection="1">
      <alignment horizontal="center" vertical="center" wrapText="1" shrinkToFit="1"/>
      <protection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 vertical="center" wrapText="1"/>
    </xf>
    <xf numFmtId="4" fontId="13" fillId="35" borderId="13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37" borderId="16" xfId="0" applyNumberFormat="1" applyFont="1" applyFill="1" applyBorder="1" applyAlignment="1">
      <alignment horizontal="center" vertical="center" wrapText="1"/>
    </xf>
    <xf numFmtId="4" fontId="13" fillId="37" borderId="17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" fontId="13" fillId="35" borderId="16" xfId="0" applyNumberFormat="1" applyFont="1" applyFill="1" applyBorder="1" applyAlignment="1">
      <alignment horizontal="center" vertical="center" wrapText="1"/>
    </xf>
    <xf numFmtId="4" fontId="13" fillId="35" borderId="17" xfId="0" applyNumberFormat="1" applyFont="1" applyFill="1" applyBorder="1" applyAlignment="1">
      <alignment horizontal="center" vertical="center" wrapText="1"/>
    </xf>
    <xf numFmtId="0" fontId="12" fillId="36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4" fontId="13" fillId="37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10" xfId="53" applyFont="1" applyBorder="1" applyAlignment="1">
      <alignment horizontal="centerContinuous"/>
      <protection/>
    </xf>
    <xf numFmtId="0" fontId="17" fillId="0" borderId="15" xfId="0" applyFont="1" applyBorder="1" applyAlignment="1">
      <alignment horizontal="center" vertical="top" wrapText="1"/>
    </xf>
    <xf numFmtId="0" fontId="17" fillId="0" borderId="10" xfId="53" applyFont="1" applyBorder="1" applyAlignment="1">
      <alignment horizontal="center" vertical="top" wrapText="1"/>
      <protection/>
    </xf>
    <xf numFmtId="0" fontId="17" fillId="0" borderId="10" xfId="53" applyFont="1" applyBorder="1" applyAlignment="1">
      <alignment vertical="top"/>
      <protection/>
    </xf>
    <xf numFmtId="49" fontId="18" fillId="0" borderId="0" xfId="0" applyNumberFormat="1" applyFont="1" applyAlignment="1" applyProtection="1">
      <alignment horizontal="left" wrapText="1"/>
      <protection/>
    </xf>
    <xf numFmtId="1" fontId="18" fillId="0" borderId="0" xfId="0" applyNumberFormat="1" applyFont="1" applyAlignment="1" applyProtection="1">
      <alignment horizontal="right" wrapText="1"/>
      <protection/>
    </xf>
    <xf numFmtId="49" fontId="18" fillId="0" borderId="0" xfId="53" applyNumberFormat="1" applyFont="1" applyBorder="1" applyAlignment="1">
      <alignment wrapText="1"/>
      <protection/>
    </xf>
    <xf numFmtId="1" fontId="68" fillId="0" borderId="0" xfId="0" applyNumberFormat="1" applyFont="1" applyAlignment="1" applyProtection="1">
      <alignment horizontal="right" wrapText="1"/>
      <protection/>
    </xf>
    <xf numFmtId="49" fontId="17" fillId="0" borderId="0" xfId="0" applyNumberFormat="1" applyFont="1" applyAlignment="1" applyProtection="1">
      <alignment horizontal="left" wrapText="1"/>
      <protection/>
    </xf>
    <xf numFmtId="49" fontId="17" fillId="0" borderId="0" xfId="53" applyNumberFormat="1" applyFont="1" applyBorder="1" applyAlignment="1">
      <alignment horizontal="left" vertical="top" wrapText="1" indent="1"/>
      <protection/>
    </xf>
    <xf numFmtId="1" fontId="69" fillId="0" borderId="0" xfId="0" applyNumberFormat="1" applyFont="1" applyAlignment="1" applyProtection="1">
      <alignment horizontal="right" wrapText="1"/>
      <protection/>
    </xf>
    <xf numFmtId="1" fontId="17" fillId="0" borderId="0" xfId="0" applyNumberFormat="1" applyFont="1" applyAlignment="1" applyProtection="1">
      <alignment horizontal="right" wrapText="1"/>
      <protection/>
    </xf>
    <xf numFmtId="49" fontId="17" fillId="0" borderId="0" xfId="53" applyNumberFormat="1" applyFont="1" applyBorder="1" applyAlignment="1">
      <alignment wrapText="1"/>
      <protection/>
    </xf>
    <xf numFmtId="1" fontId="69" fillId="36" borderId="0" xfId="0" applyNumberFormat="1" applyFont="1" applyFill="1" applyAlignment="1" applyProtection="1">
      <alignment horizontal="right" wrapText="1"/>
      <protection/>
    </xf>
    <xf numFmtId="1" fontId="69" fillId="35" borderId="0" xfId="0" applyNumberFormat="1" applyFont="1" applyFill="1" applyAlignment="1" applyProtection="1">
      <alignment horizontal="right" wrapText="1"/>
      <protection/>
    </xf>
    <xf numFmtId="1" fontId="69" fillId="0" borderId="0" xfId="0" applyNumberFormat="1" applyFont="1" applyFill="1" applyAlignment="1" applyProtection="1">
      <alignment horizontal="right" wrapText="1"/>
      <protection/>
    </xf>
    <xf numFmtId="49" fontId="17" fillId="0" borderId="0" xfId="53" applyNumberFormat="1" applyFont="1" applyAlignment="1">
      <alignment wrapText="1"/>
      <protection/>
    </xf>
    <xf numFmtId="49" fontId="17" fillId="0" borderId="0" xfId="53" applyNumberFormat="1" applyFont="1">
      <alignment/>
      <protection/>
    </xf>
    <xf numFmtId="0" fontId="70" fillId="0" borderId="0" xfId="53" applyFont="1">
      <alignment/>
      <protection/>
    </xf>
    <xf numFmtId="49" fontId="18" fillId="0" borderId="0" xfId="53" applyNumberFormat="1" applyFont="1" applyAlignment="1">
      <alignment wrapText="1"/>
      <protection/>
    </xf>
    <xf numFmtId="0" fontId="17" fillId="0" borderId="0" xfId="53" applyFont="1">
      <alignment/>
      <protection/>
    </xf>
    <xf numFmtId="1" fontId="17" fillId="0" borderId="0" xfId="0" applyNumberFormat="1" applyFont="1" applyAlignment="1">
      <alignment/>
    </xf>
    <xf numFmtId="0" fontId="13" fillId="35" borderId="11" xfId="0" applyFont="1" applyFill="1" applyBorder="1" applyAlignment="1">
      <alignment horizontal="center" vertical="center"/>
    </xf>
    <xf numFmtId="3" fontId="13" fillId="35" borderId="13" xfId="0" applyNumberFormat="1" applyFont="1" applyFill="1" applyBorder="1" applyAlignment="1">
      <alignment horizontal="center" vertical="center" wrapText="1"/>
    </xf>
    <xf numFmtId="3" fontId="13" fillId="35" borderId="16" xfId="0" applyNumberFormat="1" applyFont="1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center" vertical="center" wrapText="1"/>
    </xf>
    <xf numFmtId="3" fontId="13" fillId="35" borderId="17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171" fontId="13" fillId="35" borderId="10" xfId="61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left" wrapText="1"/>
    </xf>
    <xf numFmtId="4" fontId="13" fillId="35" borderId="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1" fontId="17" fillId="0" borderId="0" xfId="0" applyNumberFormat="1" applyFont="1" applyAlignment="1">
      <alignment wrapText="1"/>
    </xf>
    <xf numFmtId="0" fontId="18" fillId="13" borderId="0" xfId="0" applyFont="1" applyFill="1" applyAlignment="1">
      <alignment/>
    </xf>
    <xf numFmtId="1" fontId="18" fillId="13" borderId="0" xfId="0" applyNumberFormat="1" applyFont="1" applyFill="1" applyAlignment="1">
      <alignment/>
    </xf>
    <xf numFmtId="49" fontId="17" fillId="13" borderId="0" xfId="53" applyNumberFormat="1" applyFont="1" applyFill="1">
      <alignment/>
      <protection/>
    </xf>
    <xf numFmtId="0" fontId="17" fillId="13" borderId="0" xfId="53" applyFont="1" applyFill="1">
      <alignment/>
      <protection/>
    </xf>
    <xf numFmtId="1" fontId="17" fillId="13" borderId="0" xfId="0" applyNumberFormat="1" applyFont="1" applyFill="1" applyAlignment="1">
      <alignment/>
    </xf>
    <xf numFmtId="0" fontId="17" fillId="13" borderId="0" xfId="0" applyFont="1" applyFill="1" applyAlignment="1">
      <alignment/>
    </xf>
    <xf numFmtId="0" fontId="17" fillId="13" borderId="0" xfId="0" applyFont="1" applyFill="1" applyAlignment="1">
      <alignment wrapText="1"/>
    </xf>
    <xf numFmtId="0" fontId="19" fillId="0" borderId="10" xfId="0" applyFont="1" applyBorder="1" applyAlignment="1">
      <alignment/>
    </xf>
    <xf numFmtId="0" fontId="20" fillId="13" borderId="10" xfId="0" applyFont="1" applyFill="1" applyBorder="1" applyAlignment="1">
      <alignment/>
    </xf>
    <xf numFmtId="0" fontId="20" fillId="1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9" fillId="10" borderId="10" xfId="0" applyFont="1" applyFill="1" applyBorder="1" applyAlignment="1">
      <alignment/>
    </xf>
    <xf numFmtId="0" fontId="19" fillId="10" borderId="10" xfId="0" applyFont="1" applyFill="1" applyBorder="1" applyAlignment="1">
      <alignment wrapText="1"/>
    </xf>
    <xf numFmtId="0" fontId="19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13" fillId="0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24" xfId="0" applyFont="1" applyFill="1" applyBorder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0" fontId="19" fillId="0" borderId="10" xfId="0" applyFont="1" applyBorder="1" applyAlignment="1">
      <alignment/>
    </xf>
    <xf numFmtId="0" fontId="20" fillId="13" borderId="10" xfId="0" applyFont="1" applyFill="1" applyBorder="1" applyAlignment="1">
      <alignment/>
    </xf>
    <xf numFmtId="1" fontId="20" fillId="13" borderId="10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/>
    </xf>
    <xf numFmtId="0" fontId="19" fillId="10" borderId="10" xfId="0" applyFont="1" applyFill="1" applyBorder="1" applyAlignment="1">
      <alignment/>
    </xf>
    <xf numFmtId="0" fontId="19" fillId="10" borderId="10" xfId="0" applyFont="1" applyFill="1" applyBorder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/>
    </xf>
    <xf numFmtId="0" fontId="17" fillId="1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top"/>
    </xf>
    <xf numFmtId="2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1" fontId="69" fillId="21" borderId="0" xfId="0" applyNumberFormat="1" applyFont="1" applyFill="1" applyAlignment="1" applyProtection="1">
      <alignment horizontal="right" wrapText="1"/>
      <protection/>
    </xf>
    <xf numFmtId="1" fontId="69" fillId="20" borderId="0" xfId="0" applyNumberFormat="1" applyFont="1" applyFill="1" applyAlignment="1" applyProtection="1">
      <alignment horizontal="right" wrapText="1"/>
      <protection/>
    </xf>
    <xf numFmtId="1" fontId="17" fillId="21" borderId="0" xfId="0" applyNumberFormat="1" applyFont="1" applyFill="1" applyAlignment="1" applyProtection="1">
      <alignment horizontal="right" wrapText="1"/>
      <protection/>
    </xf>
    <xf numFmtId="1" fontId="69" fillId="38" borderId="0" xfId="0" applyNumberFormat="1" applyFont="1" applyFill="1" applyAlignment="1" applyProtection="1">
      <alignment horizontal="right" wrapText="1"/>
      <protection/>
    </xf>
    <xf numFmtId="1" fontId="69" fillId="39" borderId="0" xfId="0" applyNumberFormat="1" applyFont="1" applyFill="1" applyAlignment="1" applyProtection="1">
      <alignment horizontal="right" wrapText="1"/>
      <protection/>
    </xf>
    <xf numFmtId="1" fontId="69" fillId="14" borderId="0" xfId="0" applyNumberFormat="1" applyFont="1" applyFill="1" applyAlignment="1" applyProtection="1">
      <alignment horizontal="right" wrapText="1"/>
      <protection/>
    </xf>
    <xf numFmtId="0" fontId="19" fillId="21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wrapText="1"/>
    </xf>
    <xf numFmtId="4" fontId="14" fillId="37" borderId="10" xfId="0" applyNumberFormat="1" applyFont="1" applyFill="1" applyBorder="1" applyAlignment="1">
      <alignment horizontal="center" vertical="center" wrapText="1"/>
    </xf>
    <xf numFmtId="4" fontId="14" fillId="37" borderId="13" xfId="0" applyNumberFormat="1" applyFont="1" applyFill="1" applyBorder="1" applyAlignment="1">
      <alignment horizontal="center" vertical="center" wrapText="1"/>
    </xf>
    <xf numFmtId="4" fontId="14" fillId="37" borderId="16" xfId="0" applyNumberFormat="1" applyFont="1" applyFill="1" applyBorder="1" applyAlignment="1">
      <alignment horizontal="center" vertical="center" wrapText="1"/>
    </xf>
    <xf numFmtId="4" fontId="14" fillId="37" borderId="17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vertical="top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1" fontId="17" fillId="13" borderId="0" xfId="0" applyNumberFormat="1" applyFont="1" applyFill="1" applyAlignment="1">
      <alignment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left" wrapText="1"/>
    </xf>
    <xf numFmtId="4" fontId="17" fillId="37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0" fontId="17" fillId="36" borderId="10" xfId="0" applyFont="1" applyFill="1" applyBorder="1" applyAlignment="1">
      <alignment horizontal="left" wrapText="1"/>
    </xf>
    <xf numFmtId="0" fontId="17" fillId="37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left" wrapText="1"/>
    </xf>
    <xf numFmtId="0" fontId="71" fillId="0" borderId="10" xfId="53" applyFont="1" applyFill="1" applyBorder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left" vertical="center" wrapText="1"/>
      <protection/>
    </xf>
    <xf numFmtId="0" fontId="71" fillId="0" borderId="10" xfId="0" applyFont="1" applyFill="1" applyBorder="1" applyAlignment="1" applyProtection="1">
      <alignment horizontal="center" vertical="center" wrapText="1" shrinkToFit="1"/>
      <protection/>
    </xf>
    <xf numFmtId="0" fontId="71" fillId="0" borderId="10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left" vertical="center" wrapText="1" indent="4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 applyProtection="1">
      <alignment vertical="center" wrapText="1" shrinkToFi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4" fontId="6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6" fillId="9" borderId="28" xfId="53" applyFont="1" applyFill="1" applyBorder="1" applyAlignment="1">
      <alignment horizontal="left" vertical="center" wrapText="1"/>
      <protection/>
    </xf>
    <xf numFmtId="0" fontId="76" fillId="9" borderId="25" xfId="53" applyFont="1" applyFill="1" applyBorder="1" applyAlignment="1">
      <alignment horizontal="left" vertical="center" wrapText="1"/>
      <protection/>
    </xf>
    <xf numFmtId="0" fontId="76" fillId="9" borderId="21" xfId="53" applyFont="1" applyFill="1" applyBorder="1" applyAlignment="1">
      <alignment horizontal="left" vertical="center" wrapText="1"/>
      <protection/>
    </xf>
    <xf numFmtId="0" fontId="76" fillId="9" borderId="29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1" xfId="53" applyFont="1" applyBorder="1" applyAlignment="1">
      <alignment horizontal="center" vertical="center" wrapText="1"/>
      <protection/>
    </xf>
    <xf numFmtId="0" fontId="66" fillId="0" borderId="15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6" fillId="0" borderId="11" xfId="53" applyFont="1" applyBorder="1" applyAlignment="1">
      <alignment horizontal="left" vertical="center" wrapText="1"/>
      <protection/>
    </xf>
    <xf numFmtId="0" fontId="66" fillId="0" borderId="15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80" fillId="37" borderId="13" xfId="0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53" applyFont="1" applyFill="1" applyBorder="1" applyAlignment="1">
      <alignment horizontal="left" vertical="top" wrapText="1"/>
      <protection/>
    </xf>
    <xf numFmtId="0" fontId="13" fillId="0" borderId="15" xfId="53" applyFont="1" applyFill="1" applyBorder="1" applyAlignment="1">
      <alignment horizontal="left" vertical="top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36" borderId="14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2:25" ht="17.25" customHeight="1">
      <c r="B2" s="298" t="s">
        <v>174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2:25" ht="17.25" customHeight="1">
      <c r="B3" s="299" t="s">
        <v>74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</row>
    <row r="5" spans="1:26" ht="19.5" customHeight="1">
      <c r="A5" s="274" t="s">
        <v>91</v>
      </c>
      <c r="B5" s="297" t="s">
        <v>0</v>
      </c>
      <c r="C5" s="297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297" t="s">
        <v>4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26" ht="15">
      <c r="A6" s="275"/>
      <c r="B6" s="297"/>
      <c r="C6" s="297"/>
      <c r="D6" s="306">
        <v>2014</v>
      </c>
      <c r="E6" s="306">
        <v>2015</v>
      </c>
      <c r="F6" s="297">
        <v>2016</v>
      </c>
      <c r="G6" s="297">
        <v>2017</v>
      </c>
      <c r="H6" s="297">
        <v>2018</v>
      </c>
      <c r="I6" s="300">
        <v>2019</v>
      </c>
      <c r="J6" s="301"/>
      <c r="K6" s="302"/>
      <c r="L6" s="300">
        <v>2020</v>
      </c>
      <c r="M6" s="301"/>
      <c r="N6" s="302"/>
      <c r="O6" s="303">
        <v>2021</v>
      </c>
      <c r="P6" s="304"/>
      <c r="Q6" s="305"/>
      <c r="R6" s="300">
        <v>2022</v>
      </c>
      <c r="S6" s="301"/>
      <c r="T6" s="302"/>
      <c r="U6" s="300">
        <v>2023</v>
      </c>
      <c r="V6" s="301"/>
      <c r="W6" s="302"/>
      <c r="X6" s="303">
        <v>2024</v>
      </c>
      <c r="Y6" s="304"/>
      <c r="Z6" s="305"/>
    </row>
    <row r="7" spans="1:26" ht="33.75" customHeight="1">
      <c r="A7" s="276"/>
      <c r="B7" s="297"/>
      <c r="C7" s="297"/>
      <c r="D7" s="306"/>
      <c r="E7" s="306"/>
      <c r="F7" s="297"/>
      <c r="G7" s="297"/>
      <c r="H7" s="297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279" t="s">
        <v>5</v>
      </c>
      <c r="B8" s="28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277">
        <v>1</v>
      </c>
      <c r="B9" s="278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277"/>
      <c r="B10" s="278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277">
        <v>3</v>
      </c>
      <c r="B12" s="278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277"/>
      <c r="B13" s="278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277">
        <v>5</v>
      </c>
      <c r="B15" s="278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277"/>
      <c r="B16" s="278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277">
        <v>7</v>
      </c>
      <c r="B18" s="278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277"/>
      <c r="B19" s="278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277">
        <v>9</v>
      </c>
      <c r="B21" s="278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277"/>
      <c r="B22" s="278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292" t="s">
        <v>155</v>
      </c>
      <c r="B24" s="29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277">
        <v>11</v>
      </c>
      <c r="B25" s="278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277"/>
      <c r="B26" s="278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292" t="s">
        <v>157</v>
      </c>
      <c r="B41" s="29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294">
        <v>27</v>
      </c>
      <c r="B45" s="296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295"/>
      <c r="B46" s="296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281" t="s">
        <v>158</v>
      </c>
      <c r="B47" s="282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277">
        <v>31</v>
      </c>
      <c r="B51" s="278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277"/>
      <c r="B52" s="278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277">
        <v>36</v>
      </c>
      <c r="B57" s="278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283"/>
    </row>
    <row r="58" spans="1:28" ht="20.25" customHeight="1">
      <c r="A58" s="277"/>
      <c r="B58" s="278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283"/>
    </row>
    <row r="59" spans="1:26" ht="17.25" customHeight="1">
      <c r="A59" s="279" t="s">
        <v>92</v>
      </c>
      <c r="B59" s="280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277">
        <v>37</v>
      </c>
      <c r="B60" s="278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277"/>
      <c r="B61" s="278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288" t="s">
        <v>172</v>
      </c>
      <c r="E62" s="289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290"/>
      <c r="E63" s="29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277">
        <v>40</v>
      </c>
      <c r="B64" s="278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283"/>
    </row>
    <row r="65" spans="1:28" ht="30.75" customHeight="1">
      <c r="A65" s="277"/>
      <c r="B65" s="278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283"/>
    </row>
    <row r="66" spans="1:26" ht="17.25" customHeight="1">
      <c r="A66" s="279" t="s">
        <v>93</v>
      </c>
      <c r="B66" s="280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274">
        <v>41</v>
      </c>
      <c r="B67" s="278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275"/>
      <c r="B68" s="278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275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275"/>
      <c r="B70" s="278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275"/>
      <c r="B71" s="278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275"/>
      <c r="B72" s="278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275"/>
      <c r="B73" s="278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275"/>
      <c r="B74" s="278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275"/>
      <c r="B75" s="278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284"/>
      <c r="B76" s="286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285"/>
      <c r="B77" s="287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277">
        <v>43</v>
      </c>
      <c r="B79" s="278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277"/>
      <c r="B80" s="278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279" t="s">
        <v>159</v>
      </c>
      <c r="B81" s="280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274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275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275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275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275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275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275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275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275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275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275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275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275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276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281" t="s">
        <v>160</v>
      </c>
      <c r="B99" s="282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274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275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275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275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275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275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275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275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275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276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274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275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275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275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275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275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275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275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275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275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275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275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275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276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"/>
  <sheetViews>
    <sheetView tabSelected="1" zoomScale="70" zoomScaleNormal="70" zoomScalePageLayoutView="0" workbookViewId="0" topLeftCell="A1">
      <pane xSplit="3" ySplit="8" topLeftCell="D10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5" sqref="E55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0.25390625" style="51" customWidth="1"/>
    <col min="4" max="4" width="12.00390625" style="18" hidden="1" customWidth="1"/>
    <col min="5" max="5" width="18.25390625" style="18" customWidth="1"/>
    <col min="6" max="6" width="13.875" style="18" customWidth="1"/>
    <col min="7" max="7" width="14.00390625" style="18" customWidth="1"/>
    <col min="8" max="8" width="13.75390625" style="18" customWidth="1"/>
    <col min="9" max="9" width="14.25390625" style="18" customWidth="1"/>
    <col min="10" max="11" width="14.625" style="18" customWidth="1"/>
    <col min="12" max="12" width="16.125" style="18" customWidth="1"/>
    <col min="13" max="13" width="15.00390625" style="18" customWidth="1"/>
    <col min="14" max="14" width="14.00390625" style="18" customWidth="1"/>
    <col min="15" max="15" width="12.75390625" style="18" customWidth="1"/>
    <col min="16" max="16" width="13.25390625" style="18" customWidth="1"/>
    <col min="17" max="17" width="14.25390625" style="18" customWidth="1"/>
    <col min="18" max="18" width="13.375" style="18" customWidth="1"/>
    <col min="19" max="19" width="15.25390625" style="18" customWidth="1"/>
    <col min="20" max="20" width="15.75390625" style="18" customWidth="1"/>
    <col min="21" max="21" width="15.25390625" style="18" customWidth="1"/>
    <col min="22" max="22" width="16.875" style="18" customWidth="1"/>
    <col min="23" max="16384" width="9.125" style="18" customWidth="1"/>
  </cols>
  <sheetData>
    <row r="1" spans="2:16" ht="11.25" customHeight="1"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2:21" ht="22.5" customHeight="1">
      <c r="B2" s="298" t="s">
        <v>182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spans="2:21" ht="31.5" customHeight="1">
      <c r="B3" s="310" t="s">
        <v>184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5" spans="1:22" ht="19.5" customHeight="1">
      <c r="A5" s="274" t="s">
        <v>91</v>
      </c>
      <c r="B5" s="297" t="s">
        <v>0</v>
      </c>
      <c r="C5" s="297" t="s">
        <v>1</v>
      </c>
      <c r="D5" s="4" t="s">
        <v>2</v>
      </c>
      <c r="E5" s="4" t="s">
        <v>2</v>
      </c>
      <c r="F5" s="4" t="s">
        <v>2</v>
      </c>
      <c r="G5" s="4" t="s">
        <v>3</v>
      </c>
      <c r="H5" s="297" t="s">
        <v>4</v>
      </c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</row>
    <row r="6" spans="1:22" ht="15">
      <c r="A6" s="275"/>
      <c r="B6" s="297"/>
      <c r="C6" s="297"/>
      <c r="D6" s="297">
        <v>2016</v>
      </c>
      <c r="E6" s="297">
        <v>2017</v>
      </c>
      <c r="F6" s="297">
        <v>2018</v>
      </c>
      <c r="G6" s="307">
        <v>2019</v>
      </c>
      <c r="H6" s="297">
        <v>2020</v>
      </c>
      <c r="I6" s="297"/>
      <c r="J6" s="297"/>
      <c r="K6" s="297">
        <v>2021</v>
      </c>
      <c r="L6" s="297"/>
      <c r="M6" s="297"/>
      <c r="N6" s="297">
        <v>2022</v>
      </c>
      <c r="O6" s="297"/>
      <c r="P6" s="297"/>
      <c r="Q6" s="297">
        <v>2023</v>
      </c>
      <c r="R6" s="297"/>
      <c r="S6" s="297"/>
      <c r="T6" s="303">
        <v>2024</v>
      </c>
      <c r="U6" s="304"/>
      <c r="V6" s="304"/>
    </row>
    <row r="7" spans="1:22" ht="24">
      <c r="A7" s="275"/>
      <c r="B7" s="297"/>
      <c r="C7" s="297"/>
      <c r="D7" s="297"/>
      <c r="E7" s="297"/>
      <c r="F7" s="297"/>
      <c r="G7" s="308"/>
      <c r="H7" s="25" t="s">
        <v>178</v>
      </c>
      <c r="I7" s="25" t="s">
        <v>183</v>
      </c>
      <c r="J7" s="25" t="s">
        <v>177</v>
      </c>
      <c r="K7" s="25" t="s">
        <v>178</v>
      </c>
      <c r="L7" s="25" t="s">
        <v>183</v>
      </c>
      <c r="M7" s="25" t="s">
        <v>177</v>
      </c>
      <c r="N7" s="25" t="s">
        <v>178</v>
      </c>
      <c r="O7" s="25" t="s">
        <v>183</v>
      </c>
      <c r="P7" s="25" t="s">
        <v>177</v>
      </c>
      <c r="Q7" s="25" t="s">
        <v>178</v>
      </c>
      <c r="R7" s="25" t="s">
        <v>183</v>
      </c>
      <c r="S7" s="25" t="s">
        <v>177</v>
      </c>
      <c r="T7" s="25" t="s">
        <v>178</v>
      </c>
      <c r="U7" s="25" t="s">
        <v>183</v>
      </c>
      <c r="V7" s="25" t="s">
        <v>177</v>
      </c>
    </row>
    <row r="8" spans="1:22" ht="33.75" customHeight="1">
      <c r="A8" s="276"/>
      <c r="B8" s="297"/>
      <c r="C8" s="297"/>
      <c r="D8" s="297"/>
      <c r="E8" s="297"/>
      <c r="F8" s="297"/>
      <c r="G8" s="309"/>
      <c r="H8" s="25" t="s">
        <v>179</v>
      </c>
      <c r="I8" s="25" t="s">
        <v>180</v>
      </c>
      <c r="J8" s="25" t="s">
        <v>181</v>
      </c>
      <c r="K8" s="25" t="s">
        <v>179</v>
      </c>
      <c r="L8" s="25" t="s">
        <v>180</v>
      </c>
      <c r="M8" s="25" t="s">
        <v>181</v>
      </c>
      <c r="N8" s="25" t="s">
        <v>179</v>
      </c>
      <c r="O8" s="25" t="s">
        <v>180</v>
      </c>
      <c r="P8" s="25" t="s">
        <v>181</v>
      </c>
      <c r="Q8" s="25" t="s">
        <v>179</v>
      </c>
      <c r="R8" s="25" t="s">
        <v>180</v>
      </c>
      <c r="S8" s="25" t="s">
        <v>181</v>
      </c>
      <c r="T8" s="25" t="s">
        <v>179</v>
      </c>
      <c r="U8" s="25" t="s">
        <v>180</v>
      </c>
      <c r="V8" s="25" t="s">
        <v>181</v>
      </c>
    </row>
    <row r="9" spans="1:22" ht="22.5" customHeight="1">
      <c r="A9" s="279" t="s">
        <v>5</v>
      </c>
      <c r="B9" s="280"/>
      <c r="C9" s="20"/>
      <c r="D9" s="21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</row>
    <row r="10" spans="1:22" ht="15">
      <c r="A10" s="311">
        <v>1</v>
      </c>
      <c r="B10" s="312" t="s">
        <v>42</v>
      </c>
      <c r="C10" s="251" t="s">
        <v>12</v>
      </c>
      <c r="D10" s="252"/>
      <c r="E10" s="268">
        <v>40.15</v>
      </c>
      <c r="F10" s="268">
        <v>40.7</v>
      </c>
      <c r="G10" s="268">
        <v>41.3</v>
      </c>
      <c r="H10" s="268">
        <v>41.6</v>
      </c>
      <c r="I10" s="268">
        <v>41.6</v>
      </c>
      <c r="J10" s="268">
        <v>41.7</v>
      </c>
      <c r="K10" s="268">
        <v>41.8</v>
      </c>
      <c r="L10" s="268">
        <v>41.9</v>
      </c>
      <c r="M10" s="268">
        <v>42.2</v>
      </c>
      <c r="N10" s="268">
        <v>42.1</v>
      </c>
      <c r="O10" s="268">
        <v>42.2</v>
      </c>
      <c r="P10" s="268">
        <v>42.4</v>
      </c>
      <c r="Q10" s="268">
        <v>42.3</v>
      </c>
      <c r="R10" s="268">
        <v>42.4</v>
      </c>
      <c r="S10" s="268">
        <v>43</v>
      </c>
      <c r="T10" s="268">
        <v>42.6</v>
      </c>
      <c r="U10" s="268">
        <v>42.7</v>
      </c>
      <c r="V10" s="268">
        <v>43.5</v>
      </c>
    </row>
    <row r="11" spans="1:22" ht="30">
      <c r="A11" s="311"/>
      <c r="B11" s="312"/>
      <c r="C11" s="251" t="s">
        <v>6</v>
      </c>
      <c r="D11" s="252"/>
      <c r="E11" s="268">
        <v>99.6</v>
      </c>
      <c r="F11" s="268">
        <v>101.36986301369863</v>
      </c>
      <c r="G11" s="268">
        <v>101.47420147420145</v>
      </c>
      <c r="H11" s="268">
        <v>100.726392251816</v>
      </c>
      <c r="I11" s="268">
        <v>100.726392251816</v>
      </c>
      <c r="J11" s="268">
        <v>100.9</v>
      </c>
      <c r="K11" s="268">
        <v>100.48076923076923</v>
      </c>
      <c r="L11" s="268">
        <v>100.72115384615384</v>
      </c>
      <c r="M11" s="268">
        <v>101.1</v>
      </c>
      <c r="N11" s="268">
        <v>100.71770334928232</v>
      </c>
      <c r="O11" s="268">
        <v>100.71599045346062</v>
      </c>
      <c r="P11" s="268">
        <v>100.5</v>
      </c>
      <c r="Q11" s="268">
        <v>100.47505938242278</v>
      </c>
      <c r="R11" s="268">
        <v>100.4739336492891</v>
      </c>
      <c r="S11" s="268">
        <v>101.4</v>
      </c>
      <c r="T11" s="268">
        <v>100.70921985815605</v>
      </c>
      <c r="U11" s="268">
        <v>100.70754716981133</v>
      </c>
      <c r="V11" s="268">
        <v>101.2</v>
      </c>
    </row>
    <row r="12" spans="1:22" ht="15">
      <c r="A12" s="311">
        <v>2</v>
      </c>
      <c r="B12" s="312" t="s">
        <v>14</v>
      </c>
      <c r="C12" s="251" t="s">
        <v>12</v>
      </c>
      <c r="D12" s="252"/>
      <c r="E12" s="268">
        <v>0.48</v>
      </c>
      <c r="F12" s="268">
        <v>0.43</v>
      </c>
      <c r="G12" s="268">
        <v>0.48</v>
      </c>
      <c r="H12" s="268">
        <v>0.46</v>
      </c>
      <c r="I12" s="268">
        <v>0.46</v>
      </c>
      <c r="J12" s="268">
        <v>0.46</v>
      </c>
      <c r="K12" s="268">
        <v>0.47</v>
      </c>
      <c r="L12" s="268">
        <v>0.47</v>
      </c>
      <c r="M12" s="268">
        <v>0.47</v>
      </c>
      <c r="N12" s="268">
        <v>0.46</v>
      </c>
      <c r="O12" s="268">
        <v>0.47</v>
      </c>
      <c r="P12" s="268">
        <v>0.47</v>
      </c>
      <c r="Q12" s="268">
        <v>0.46</v>
      </c>
      <c r="R12" s="268">
        <v>0.47</v>
      </c>
      <c r="S12" s="268">
        <v>0.47</v>
      </c>
      <c r="T12" s="268">
        <v>0.47</v>
      </c>
      <c r="U12" s="268">
        <v>0.47</v>
      </c>
      <c r="V12" s="268">
        <v>0.47</v>
      </c>
    </row>
    <row r="13" spans="1:22" ht="30">
      <c r="A13" s="311"/>
      <c r="B13" s="312"/>
      <c r="C13" s="251" t="s">
        <v>6</v>
      </c>
      <c r="D13" s="252"/>
      <c r="E13" s="268">
        <v>91.6</v>
      </c>
      <c r="F13" s="268">
        <v>89.56</v>
      </c>
      <c r="G13" s="268">
        <v>111.89</v>
      </c>
      <c r="H13" s="268">
        <v>96.46</v>
      </c>
      <c r="I13" s="268">
        <v>96.39</v>
      </c>
      <c r="J13" s="268">
        <v>95.83</v>
      </c>
      <c r="K13" s="268">
        <v>101.3</v>
      </c>
      <c r="L13" s="268">
        <v>101.87</v>
      </c>
      <c r="M13" s="268">
        <v>101.87</v>
      </c>
      <c r="N13" s="268">
        <v>99.15</v>
      </c>
      <c r="O13" s="268">
        <v>99.08</v>
      </c>
      <c r="P13" s="268">
        <v>99.08</v>
      </c>
      <c r="Q13" s="268">
        <v>100</v>
      </c>
      <c r="R13" s="268">
        <v>100</v>
      </c>
      <c r="S13" s="268">
        <v>100</v>
      </c>
      <c r="T13" s="268">
        <v>100.65</v>
      </c>
      <c r="U13" s="268">
        <v>100.56</v>
      </c>
      <c r="V13" s="268">
        <v>100.56</v>
      </c>
    </row>
    <row r="14" spans="1:22" ht="20.25" customHeight="1">
      <c r="A14" s="251">
        <v>3</v>
      </c>
      <c r="B14" s="253" t="s">
        <v>46</v>
      </c>
      <c r="C14" s="251" t="s">
        <v>47</v>
      </c>
      <c r="D14" s="252"/>
      <c r="E14" s="268">
        <v>11.9</v>
      </c>
      <c r="F14" s="268">
        <v>10.5</v>
      </c>
      <c r="G14" s="268">
        <v>11.6</v>
      </c>
      <c r="H14" s="268">
        <v>11.13</v>
      </c>
      <c r="I14" s="268">
        <v>11.12</v>
      </c>
      <c r="J14" s="268">
        <v>11.13</v>
      </c>
      <c r="K14" s="268">
        <v>11.22</v>
      </c>
      <c r="L14" s="268">
        <v>11.25</v>
      </c>
      <c r="M14" s="268">
        <v>11.23</v>
      </c>
      <c r="N14" s="268">
        <v>11.05</v>
      </c>
      <c r="O14" s="268">
        <v>11.07</v>
      </c>
      <c r="P14" s="268">
        <v>11.51</v>
      </c>
      <c r="Q14" s="268">
        <v>10.99</v>
      </c>
      <c r="R14" s="268">
        <v>11.01</v>
      </c>
      <c r="S14" s="268">
        <v>11</v>
      </c>
      <c r="T14" s="268">
        <v>10.99</v>
      </c>
      <c r="U14" s="268">
        <v>11</v>
      </c>
      <c r="V14" s="268">
        <v>11.01</v>
      </c>
    </row>
    <row r="15" spans="1:22" ht="15">
      <c r="A15" s="311">
        <v>4</v>
      </c>
      <c r="B15" s="312" t="s">
        <v>15</v>
      </c>
      <c r="C15" s="251" t="s">
        <v>12</v>
      </c>
      <c r="D15" s="252"/>
      <c r="E15" s="268">
        <v>0.5</v>
      </c>
      <c r="F15" s="268">
        <v>0.59</v>
      </c>
      <c r="G15" s="268">
        <v>0.55</v>
      </c>
      <c r="H15" s="268">
        <v>0.54</v>
      </c>
      <c r="I15" s="268">
        <v>0.54</v>
      </c>
      <c r="J15" s="268">
        <v>0.54</v>
      </c>
      <c r="K15" s="268">
        <v>0.54</v>
      </c>
      <c r="L15" s="268">
        <v>0.54</v>
      </c>
      <c r="M15" s="268">
        <v>0.54</v>
      </c>
      <c r="N15" s="268">
        <v>0.54</v>
      </c>
      <c r="O15" s="268">
        <v>0.54</v>
      </c>
      <c r="P15" s="268">
        <v>0.52</v>
      </c>
      <c r="Q15" s="268">
        <v>0.54</v>
      </c>
      <c r="R15" s="268">
        <v>0.54</v>
      </c>
      <c r="S15" s="268">
        <v>0.54</v>
      </c>
      <c r="T15" s="268">
        <v>0.54</v>
      </c>
      <c r="U15" s="268">
        <v>0.54</v>
      </c>
      <c r="V15" s="268">
        <v>0.53</v>
      </c>
    </row>
    <row r="16" spans="1:22" ht="30">
      <c r="A16" s="311"/>
      <c r="B16" s="312"/>
      <c r="C16" s="251" t="s">
        <v>6</v>
      </c>
      <c r="D16" s="252"/>
      <c r="E16" s="268">
        <v>85.1</v>
      </c>
      <c r="F16" s="268">
        <v>116.53</v>
      </c>
      <c r="G16" s="268">
        <v>95.56</v>
      </c>
      <c r="H16" s="268">
        <v>98.13</v>
      </c>
      <c r="I16" s="268">
        <v>98.15</v>
      </c>
      <c r="J16" s="268">
        <v>98.15</v>
      </c>
      <c r="K16" s="268">
        <v>100</v>
      </c>
      <c r="L16" s="268">
        <v>99.8</v>
      </c>
      <c r="M16" s="268">
        <v>99.8</v>
      </c>
      <c r="N16" s="268">
        <v>100.74</v>
      </c>
      <c r="O16" s="268">
        <v>100.77</v>
      </c>
      <c r="P16" s="268">
        <v>96.3</v>
      </c>
      <c r="Q16" s="268">
        <v>99.63</v>
      </c>
      <c r="R16" s="268">
        <v>99.56</v>
      </c>
      <c r="S16" s="268">
        <v>99.56</v>
      </c>
      <c r="T16" s="268">
        <v>100</v>
      </c>
      <c r="U16" s="268">
        <v>100.04</v>
      </c>
      <c r="V16" s="268">
        <v>98.15</v>
      </c>
    </row>
    <row r="17" spans="1:22" ht="20.25" customHeight="1">
      <c r="A17" s="251">
        <v>5</v>
      </c>
      <c r="B17" s="253" t="s">
        <v>48</v>
      </c>
      <c r="C17" s="251" t="s">
        <v>47</v>
      </c>
      <c r="D17" s="252"/>
      <c r="E17" s="268">
        <v>12.35</v>
      </c>
      <c r="F17" s="268">
        <v>14.2</v>
      </c>
      <c r="G17" s="268">
        <v>13.37</v>
      </c>
      <c r="H17" s="268">
        <v>13.03</v>
      </c>
      <c r="I17" s="268">
        <v>13.03</v>
      </c>
      <c r="J17" s="268">
        <v>12.9</v>
      </c>
      <c r="K17" s="268">
        <v>12.97</v>
      </c>
      <c r="L17" s="268">
        <v>12.91</v>
      </c>
      <c r="M17" s="268">
        <v>12.73</v>
      </c>
      <c r="N17" s="268">
        <v>12.97</v>
      </c>
      <c r="O17" s="268">
        <v>12.92</v>
      </c>
      <c r="P17" s="268">
        <v>12.24</v>
      </c>
      <c r="Q17" s="268">
        <v>12.86</v>
      </c>
      <c r="R17" s="268">
        <v>12.8</v>
      </c>
      <c r="S17" s="268">
        <v>12.44</v>
      </c>
      <c r="T17" s="268">
        <v>12.77</v>
      </c>
      <c r="U17" s="268">
        <v>12.72</v>
      </c>
      <c r="V17" s="268">
        <v>12.23</v>
      </c>
    </row>
    <row r="18" spans="1:22" ht="15">
      <c r="A18" s="311">
        <v>6</v>
      </c>
      <c r="B18" s="312" t="s">
        <v>16</v>
      </c>
      <c r="C18" s="251" t="s">
        <v>12</v>
      </c>
      <c r="D18" s="252"/>
      <c r="E18" s="268">
        <v>-0.03</v>
      </c>
      <c r="F18" s="268">
        <v>-0.13</v>
      </c>
      <c r="G18" s="268">
        <v>-0.07</v>
      </c>
      <c r="H18" s="268">
        <v>-0.08</v>
      </c>
      <c r="I18" s="268">
        <v>-0.08</v>
      </c>
      <c r="J18" s="268">
        <v>-0.07</v>
      </c>
      <c r="K18" s="268">
        <v>-0.07</v>
      </c>
      <c r="L18" s="268">
        <v>-0.07</v>
      </c>
      <c r="M18" s="268">
        <v>-0.06</v>
      </c>
      <c r="N18" s="268">
        <v>-0.08</v>
      </c>
      <c r="O18" s="268">
        <v>-0.08</v>
      </c>
      <c r="P18" s="268">
        <v>-0.03</v>
      </c>
      <c r="Q18" s="268">
        <v>-0.08</v>
      </c>
      <c r="R18" s="268">
        <v>-0.08</v>
      </c>
      <c r="S18" s="268">
        <v>-0.06</v>
      </c>
      <c r="T18" s="268">
        <v>-0.08</v>
      </c>
      <c r="U18" s="268">
        <v>-0.07</v>
      </c>
      <c r="V18" s="268">
        <v>-0.05</v>
      </c>
    </row>
    <row r="19" spans="1:22" ht="30">
      <c r="A19" s="311"/>
      <c r="B19" s="312"/>
      <c r="C19" s="251" t="s">
        <v>6</v>
      </c>
      <c r="D19" s="252"/>
      <c r="E19" s="268">
        <v>28.3</v>
      </c>
      <c r="F19" s="268">
        <f>F18/E18*100</f>
        <v>433.33333333333337</v>
      </c>
      <c r="G19" s="268">
        <f>G18/F18*100</f>
        <v>53.846153846153854</v>
      </c>
      <c r="H19" s="268">
        <f>H18/G18*100</f>
        <v>114.28571428571428</v>
      </c>
      <c r="I19" s="268">
        <f>I18/G18*100</f>
        <v>114.28571428571428</v>
      </c>
      <c r="J19" s="268">
        <v>114.29</v>
      </c>
      <c r="K19" s="268">
        <f>K18/H18*100</f>
        <v>87.50000000000001</v>
      </c>
      <c r="L19" s="268">
        <f>L18/I18*100</f>
        <v>87.50000000000001</v>
      </c>
      <c r="M19" s="268">
        <v>87.5</v>
      </c>
      <c r="N19" s="268">
        <f>N18/K18*100</f>
        <v>114.28571428571428</v>
      </c>
      <c r="O19" s="268">
        <f>O18/L18*100</f>
        <v>114.28571428571428</v>
      </c>
      <c r="P19" s="268">
        <v>114.29</v>
      </c>
      <c r="Q19" s="268">
        <f>Q18/N18*100</f>
        <v>100</v>
      </c>
      <c r="R19" s="268">
        <f>R18/O18*100</f>
        <v>100</v>
      </c>
      <c r="S19" s="268">
        <v>100</v>
      </c>
      <c r="T19" s="268">
        <f>T18/Q18*100</f>
        <v>100</v>
      </c>
      <c r="U19" s="268">
        <f>U18/R18*100</f>
        <v>87.50000000000001</v>
      </c>
      <c r="V19" s="268">
        <v>87.5</v>
      </c>
    </row>
    <row r="20" spans="1:22" ht="21" customHeight="1">
      <c r="A20" s="251">
        <v>7</v>
      </c>
      <c r="B20" s="253" t="s">
        <v>49</v>
      </c>
      <c r="C20" s="251" t="s">
        <v>47</v>
      </c>
      <c r="D20" s="252"/>
      <c r="E20" s="268">
        <v>-0.4</v>
      </c>
      <c r="F20" s="268">
        <v>-3.7</v>
      </c>
      <c r="G20" s="268">
        <v>-1.8</v>
      </c>
      <c r="H20" s="268">
        <v>-1.9</v>
      </c>
      <c r="I20" s="268">
        <v>-1.9</v>
      </c>
      <c r="J20" s="268">
        <v>-1.8</v>
      </c>
      <c r="K20" s="268">
        <v>-1.7</v>
      </c>
      <c r="L20" s="268">
        <v>-1.7</v>
      </c>
      <c r="M20" s="268">
        <v>-1.5</v>
      </c>
      <c r="N20" s="268">
        <v>-1.9</v>
      </c>
      <c r="O20" s="268">
        <v>-1.9</v>
      </c>
      <c r="P20" s="268">
        <v>-0.7</v>
      </c>
      <c r="Q20" s="268">
        <v>-1.9</v>
      </c>
      <c r="R20" s="268">
        <v>-1.8</v>
      </c>
      <c r="S20" s="268">
        <v>-1.4</v>
      </c>
      <c r="T20" s="268">
        <v>-1.8</v>
      </c>
      <c r="U20" s="268">
        <v>-1.7</v>
      </c>
      <c r="V20" s="268">
        <v>-1.2</v>
      </c>
    </row>
    <row r="21" spans="1:22" ht="15">
      <c r="A21" s="311">
        <v>8</v>
      </c>
      <c r="B21" s="312" t="s">
        <v>20</v>
      </c>
      <c r="C21" s="251" t="s">
        <v>12</v>
      </c>
      <c r="D21" s="252"/>
      <c r="E21" s="268">
        <v>0.5</v>
      </c>
      <c r="F21" s="268">
        <v>0.7</v>
      </c>
      <c r="G21" s="268">
        <v>0.64</v>
      </c>
      <c r="H21" s="268">
        <v>0.61</v>
      </c>
      <c r="I21" s="268">
        <v>0.61</v>
      </c>
      <c r="J21" s="268">
        <v>0.61</v>
      </c>
      <c r="K21" s="268">
        <v>0.57</v>
      </c>
      <c r="L21" s="268">
        <v>0.58</v>
      </c>
      <c r="M21" s="268">
        <v>0.61</v>
      </c>
      <c r="N21" s="268">
        <v>0.59</v>
      </c>
      <c r="O21" s="268">
        <v>0.59</v>
      </c>
      <c r="P21" s="268">
        <v>0.64</v>
      </c>
      <c r="Q21" s="268">
        <v>0.53</v>
      </c>
      <c r="R21" s="268">
        <v>0.59</v>
      </c>
      <c r="S21" s="268">
        <v>0.64</v>
      </c>
      <c r="T21" s="268">
        <v>0.54</v>
      </c>
      <c r="U21" s="268">
        <v>0.59</v>
      </c>
      <c r="V21" s="268">
        <v>0.66</v>
      </c>
    </row>
    <row r="22" spans="1:22" ht="30">
      <c r="A22" s="311"/>
      <c r="B22" s="312"/>
      <c r="C22" s="251" t="s">
        <v>6</v>
      </c>
      <c r="D22" s="254"/>
      <c r="E22" s="268">
        <v>75.2</v>
      </c>
      <c r="F22" s="268">
        <v>140</v>
      </c>
      <c r="G22" s="268">
        <v>91.42857142857143</v>
      </c>
      <c r="H22" s="268">
        <v>95.3125</v>
      </c>
      <c r="I22" s="268">
        <v>95.3125</v>
      </c>
      <c r="J22" s="268">
        <v>95.32</v>
      </c>
      <c r="K22" s="268">
        <v>93.44262295081967</v>
      </c>
      <c r="L22" s="268">
        <v>95.08196721311475</v>
      </c>
      <c r="M22" s="268">
        <v>100</v>
      </c>
      <c r="N22" s="268">
        <v>103.50877192982458</v>
      </c>
      <c r="O22" s="268">
        <v>101.72413793103448</v>
      </c>
      <c r="P22" s="268">
        <v>104.9</v>
      </c>
      <c r="Q22" s="268">
        <v>89.83050847457628</v>
      </c>
      <c r="R22" s="268">
        <v>100</v>
      </c>
      <c r="S22" s="268">
        <v>100</v>
      </c>
      <c r="T22" s="268">
        <v>101.88679245283019</v>
      </c>
      <c r="U22" s="268">
        <v>100</v>
      </c>
      <c r="V22" s="268">
        <v>103.1</v>
      </c>
    </row>
    <row r="23" spans="1:22" ht="18.75" customHeight="1">
      <c r="A23" s="251">
        <v>9</v>
      </c>
      <c r="B23" s="253" t="s">
        <v>50</v>
      </c>
      <c r="C23" s="251" t="s">
        <v>72</v>
      </c>
      <c r="D23" s="254"/>
      <c r="E23" s="268">
        <v>12</v>
      </c>
      <c r="F23" s="268">
        <v>17.2</v>
      </c>
      <c r="G23" s="268">
        <v>15.6</v>
      </c>
      <c r="H23" s="268">
        <v>14.6</v>
      </c>
      <c r="I23" s="268">
        <v>14.6</v>
      </c>
      <c r="J23" s="268">
        <v>14.7</v>
      </c>
      <c r="K23" s="268">
        <v>13.6</v>
      </c>
      <c r="L23" s="268">
        <v>13.8</v>
      </c>
      <c r="M23" s="268">
        <v>14.4</v>
      </c>
      <c r="N23" s="268">
        <v>13.9</v>
      </c>
      <c r="O23" s="268">
        <v>14</v>
      </c>
      <c r="P23" s="268">
        <v>18.1</v>
      </c>
      <c r="Q23" s="268">
        <v>12.6</v>
      </c>
      <c r="R23" s="268">
        <v>13.8</v>
      </c>
      <c r="S23" s="268">
        <v>14.9</v>
      </c>
      <c r="T23" s="268">
        <v>12.6</v>
      </c>
      <c r="U23" s="268">
        <v>13.8</v>
      </c>
      <c r="V23" s="268">
        <v>15.2</v>
      </c>
    </row>
    <row r="24" spans="1:22" ht="18.75" customHeight="1">
      <c r="A24" s="313" t="s">
        <v>155</v>
      </c>
      <c r="B24" s="314"/>
      <c r="C24" s="251"/>
      <c r="D24" s="254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69"/>
    </row>
    <row r="25" spans="1:22" ht="16.5" customHeight="1">
      <c r="A25" s="311">
        <v>10</v>
      </c>
      <c r="B25" s="312" t="s">
        <v>83</v>
      </c>
      <c r="C25" s="251" t="s">
        <v>39</v>
      </c>
      <c r="D25" s="254"/>
      <c r="E25" s="268">
        <v>11600</v>
      </c>
      <c r="F25" s="272">
        <v>12258</v>
      </c>
      <c r="G25" s="272">
        <v>12276</v>
      </c>
      <c r="H25" s="272">
        <v>12293</v>
      </c>
      <c r="I25" s="272">
        <v>12293</v>
      </c>
      <c r="J25" s="272">
        <v>12293</v>
      </c>
      <c r="K25" s="272">
        <v>12310</v>
      </c>
      <c r="L25" s="272">
        <v>12310</v>
      </c>
      <c r="M25" s="272">
        <v>12310</v>
      </c>
      <c r="N25" s="272">
        <v>12327</v>
      </c>
      <c r="O25" s="272">
        <v>12327</v>
      </c>
      <c r="P25" s="272">
        <v>12327</v>
      </c>
      <c r="Q25" s="272">
        <v>12360</v>
      </c>
      <c r="R25" s="272">
        <v>12360</v>
      </c>
      <c r="S25" s="272">
        <v>12360</v>
      </c>
      <c r="T25" s="272">
        <v>12377</v>
      </c>
      <c r="U25" s="272">
        <v>12377</v>
      </c>
      <c r="V25" s="272">
        <v>12377</v>
      </c>
    </row>
    <row r="26" spans="1:22" ht="19.5" customHeight="1">
      <c r="A26" s="311"/>
      <c r="B26" s="312"/>
      <c r="C26" s="251" t="s">
        <v>6</v>
      </c>
      <c r="D26" s="254"/>
      <c r="E26" s="268">
        <v>98.3</v>
      </c>
      <c r="F26" s="272">
        <f>F25/E25*100</f>
        <v>105.67241379310346</v>
      </c>
      <c r="G26" s="272">
        <f>G25/F25*100</f>
        <v>100.14684287812041</v>
      </c>
      <c r="H26" s="272">
        <f>H25/G25*100</f>
        <v>100.13848159009449</v>
      </c>
      <c r="I26" s="272">
        <f>I25/G25*100</f>
        <v>100.13848159009449</v>
      </c>
      <c r="J26" s="272">
        <f aca="true" t="shared" si="0" ref="J26:V26">J25/G25*100</f>
        <v>100.13848159009449</v>
      </c>
      <c r="K26" s="272">
        <f t="shared" si="0"/>
        <v>100.13829008378752</v>
      </c>
      <c r="L26" s="272">
        <f t="shared" si="0"/>
        <v>100.13829008378752</v>
      </c>
      <c r="M26" s="272">
        <f t="shared" si="0"/>
        <v>100.13829008378752</v>
      </c>
      <c r="N26" s="272">
        <f t="shared" si="0"/>
        <v>100.13809910641756</v>
      </c>
      <c r="O26" s="272">
        <f t="shared" si="0"/>
        <v>100.13809910641756</v>
      </c>
      <c r="P26" s="272">
        <f t="shared" si="0"/>
        <v>100.13809910641756</v>
      </c>
      <c r="Q26" s="272">
        <f t="shared" si="0"/>
        <v>100.26770503772207</v>
      </c>
      <c r="R26" s="272">
        <f t="shared" si="0"/>
        <v>100.26770503772207</v>
      </c>
      <c r="S26" s="272">
        <f t="shared" si="0"/>
        <v>100.26770503772207</v>
      </c>
      <c r="T26" s="272">
        <f t="shared" si="0"/>
        <v>100.13754045307444</v>
      </c>
      <c r="U26" s="272">
        <f t="shared" si="0"/>
        <v>100.13754045307444</v>
      </c>
      <c r="V26" s="272">
        <f t="shared" si="0"/>
        <v>100.13754045307444</v>
      </c>
    </row>
    <row r="27" spans="1:22" ht="33" customHeight="1">
      <c r="A27" s="251">
        <v>11</v>
      </c>
      <c r="B27" s="253" t="s">
        <v>85</v>
      </c>
      <c r="C27" s="251" t="s">
        <v>39</v>
      </c>
      <c r="D27" s="254"/>
      <c r="E27" s="268">
        <v>2184</v>
      </c>
      <c r="F27" s="268">
        <v>2497</v>
      </c>
      <c r="G27" s="268">
        <v>2520</v>
      </c>
      <c r="H27" s="268">
        <v>2524</v>
      </c>
      <c r="I27" s="268">
        <v>2524</v>
      </c>
      <c r="J27" s="268">
        <v>2524</v>
      </c>
      <c r="K27" s="268">
        <v>2527</v>
      </c>
      <c r="L27" s="268">
        <v>2527</v>
      </c>
      <c r="M27" s="268">
        <v>2527</v>
      </c>
      <c r="N27" s="268">
        <v>2531</v>
      </c>
      <c r="O27" s="268">
        <v>2531</v>
      </c>
      <c r="P27" s="268">
        <v>2531</v>
      </c>
      <c r="Q27" s="268">
        <v>2537</v>
      </c>
      <c r="R27" s="268">
        <v>2537</v>
      </c>
      <c r="S27" s="268">
        <v>2537</v>
      </c>
      <c r="T27" s="268">
        <v>2541</v>
      </c>
      <c r="U27" s="268">
        <v>2541</v>
      </c>
      <c r="V27" s="268">
        <v>2541</v>
      </c>
    </row>
    <row r="28" spans="1:22" ht="33.75" customHeight="1">
      <c r="A28" s="251">
        <v>12</v>
      </c>
      <c r="B28" s="253" t="s">
        <v>170</v>
      </c>
      <c r="C28" s="251" t="s">
        <v>39</v>
      </c>
      <c r="D28" s="254"/>
      <c r="E28" s="268">
        <v>0</v>
      </c>
      <c r="F28" s="268">
        <v>0</v>
      </c>
      <c r="G28" s="268">
        <v>4</v>
      </c>
      <c r="H28" s="268">
        <v>0</v>
      </c>
      <c r="I28" s="268">
        <v>0</v>
      </c>
      <c r="J28" s="268">
        <v>0</v>
      </c>
      <c r="K28" s="268">
        <v>0</v>
      </c>
      <c r="L28" s="268">
        <v>0</v>
      </c>
      <c r="M28" s="268">
        <v>0</v>
      </c>
      <c r="N28" s="268">
        <v>0</v>
      </c>
      <c r="O28" s="268">
        <v>0</v>
      </c>
      <c r="P28" s="268">
        <v>0</v>
      </c>
      <c r="Q28" s="268">
        <v>0</v>
      </c>
      <c r="R28" s="268">
        <v>0</v>
      </c>
      <c r="S28" s="268">
        <v>0</v>
      </c>
      <c r="T28" s="268">
        <v>0</v>
      </c>
      <c r="U28" s="268">
        <v>0</v>
      </c>
      <c r="V28" s="268">
        <v>0</v>
      </c>
    </row>
    <row r="29" spans="1:22" ht="21.75" customHeight="1">
      <c r="A29" s="251">
        <v>13</v>
      </c>
      <c r="B29" s="253" t="s">
        <v>106</v>
      </c>
      <c r="C29" s="20" t="s">
        <v>61</v>
      </c>
      <c r="D29" s="21"/>
      <c r="E29" s="268">
        <v>19471</v>
      </c>
      <c r="F29" s="272">
        <v>19538</v>
      </c>
      <c r="G29" s="272">
        <v>19224</v>
      </c>
      <c r="H29" s="272">
        <v>19244</v>
      </c>
      <c r="I29" s="272">
        <v>19244</v>
      </c>
      <c r="J29" s="272">
        <v>19244</v>
      </c>
      <c r="K29" s="272">
        <v>19266</v>
      </c>
      <c r="L29" s="272">
        <v>19266</v>
      </c>
      <c r="M29" s="272">
        <v>19266</v>
      </c>
      <c r="N29" s="272">
        <v>19284</v>
      </c>
      <c r="O29" s="272">
        <v>19284</v>
      </c>
      <c r="P29" s="272">
        <v>19284</v>
      </c>
      <c r="Q29" s="272">
        <v>19322</v>
      </c>
      <c r="R29" s="272">
        <v>19322</v>
      </c>
      <c r="S29" s="272">
        <v>19322</v>
      </c>
      <c r="T29" s="272">
        <v>19343</v>
      </c>
      <c r="U29" s="272">
        <v>19343</v>
      </c>
      <c r="V29" s="273">
        <v>19343</v>
      </c>
    </row>
    <row r="30" spans="1:22" ht="33.75" customHeight="1">
      <c r="A30" s="251">
        <v>14</v>
      </c>
      <c r="B30" s="253" t="s">
        <v>63</v>
      </c>
      <c r="C30" s="20" t="s">
        <v>7</v>
      </c>
      <c r="D30" s="21"/>
      <c r="E30" s="268">
        <v>82.62</v>
      </c>
      <c r="F30" s="268">
        <v>82.84</v>
      </c>
      <c r="G30" s="268">
        <v>81.82</v>
      </c>
      <c r="H30" s="268">
        <v>80.32</v>
      </c>
      <c r="I30" s="268">
        <v>80.32</v>
      </c>
      <c r="J30" s="268">
        <v>80.32</v>
      </c>
      <c r="K30" s="268">
        <v>80.17</v>
      </c>
      <c r="L30" s="268">
        <v>80.17</v>
      </c>
      <c r="M30" s="268">
        <v>80.17</v>
      </c>
      <c r="N30" s="268">
        <v>79.54</v>
      </c>
      <c r="O30" s="268">
        <v>79.54</v>
      </c>
      <c r="P30" s="268">
        <v>79.54</v>
      </c>
      <c r="Q30" s="268">
        <v>79.04</v>
      </c>
      <c r="R30" s="268">
        <v>79.04</v>
      </c>
      <c r="S30" s="268">
        <v>79.04</v>
      </c>
      <c r="T30" s="268">
        <v>78.46</v>
      </c>
      <c r="U30" s="268">
        <v>78.46</v>
      </c>
      <c r="V30" s="268">
        <v>78.46</v>
      </c>
    </row>
    <row r="31" spans="1:22" ht="19.5" customHeight="1">
      <c r="A31" s="251">
        <v>15</v>
      </c>
      <c r="B31" s="253" t="s">
        <v>64</v>
      </c>
      <c r="C31" s="251" t="s">
        <v>65</v>
      </c>
      <c r="D31" s="254"/>
      <c r="E31" s="268">
        <f>E32-E29</f>
        <v>3476</v>
      </c>
      <c r="F31" s="268">
        <f aca="true" t="shared" si="1" ref="F31:V31">F32-F29</f>
        <v>4543</v>
      </c>
      <c r="G31" s="268">
        <f t="shared" si="1"/>
        <v>4922</v>
      </c>
      <c r="H31" s="268">
        <f t="shared" si="1"/>
        <v>5412</v>
      </c>
      <c r="I31" s="268">
        <f t="shared" si="1"/>
        <v>5412</v>
      </c>
      <c r="J31" s="268">
        <f t="shared" si="1"/>
        <v>5412</v>
      </c>
      <c r="K31" s="268">
        <f t="shared" si="1"/>
        <v>5469</v>
      </c>
      <c r="L31" s="268">
        <f t="shared" si="1"/>
        <v>5469</v>
      </c>
      <c r="M31" s="268">
        <f t="shared" si="1"/>
        <v>5469</v>
      </c>
      <c r="N31" s="268">
        <f t="shared" si="1"/>
        <v>5638</v>
      </c>
      <c r="O31" s="268">
        <f t="shared" si="1"/>
        <v>5638</v>
      </c>
      <c r="P31" s="268">
        <f t="shared" si="1"/>
        <v>5638</v>
      </c>
      <c r="Q31" s="268">
        <f t="shared" si="1"/>
        <v>5875</v>
      </c>
      <c r="R31" s="268">
        <f t="shared" si="1"/>
        <v>5875</v>
      </c>
      <c r="S31" s="268">
        <f t="shared" si="1"/>
        <v>5875</v>
      </c>
      <c r="T31" s="268">
        <f t="shared" si="1"/>
        <v>6097</v>
      </c>
      <c r="U31" s="268">
        <f t="shared" si="1"/>
        <v>6097</v>
      </c>
      <c r="V31" s="268">
        <f t="shared" si="1"/>
        <v>6097</v>
      </c>
    </row>
    <row r="32" spans="1:22" ht="18" customHeight="1">
      <c r="A32" s="251">
        <v>16</v>
      </c>
      <c r="B32" s="253" t="s">
        <v>66</v>
      </c>
      <c r="C32" s="251" t="s">
        <v>39</v>
      </c>
      <c r="D32" s="254"/>
      <c r="E32" s="272">
        <v>22947</v>
      </c>
      <c r="F32" s="272">
        <v>24081</v>
      </c>
      <c r="G32" s="272">
        <v>24146</v>
      </c>
      <c r="H32" s="272">
        <v>24656</v>
      </c>
      <c r="I32" s="272">
        <v>24656</v>
      </c>
      <c r="J32" s="272">
        <v>24656</v>
      </c>
      <c r="K32" s="272">
        <v>24735</v>
      </c>
      <c r="L32" s="272">
        <v>24735</v>
      </c>
      <c r="M32" s="272">
        <v>24735</v>
      </c>
      <c r="N32" s="272">
        <v>24922</v>
      </c>
      <c r="O32" s="272">
        <v>24922</v>
      </c>
      <c r="P32" s="272">
        <v>24922</v>
      </c>
      <c r="Q32" s="272">
        <v>25197</v>
      </c>
      <c r="R32" s="272">
        <v>25197</v>
      </c>
      <c r="S32" s="272">
        <v>25197</v>
      </c>
      <c r="T32" s="272">
        <v>25440</v>
      </c>
      <c r="U32" s="272">
        <v>25440</v>
      </c>
      <c r="V32" s="273">
        <v>25440</v>
      </c>
    </row>
    <row r="33" spans="1:22" ht="18" customHeight="1">
      <c r="A33" s="251">
        <v>17</v>
      </c>
      <c r="B33" s="253" t="s">
        <v>171</v>
      </c>
      <c r="C33" s="251" t="s">
        <v>39</v>
      </c>
      <c r="D33" s="254"/>
      <c r="E33" s="268">
        <v>9934</v>
      </c>
      <c r="F33" s="272">
        <v>9781</v>
      </c>
      <c r="G33" s="272">
        <v>10149</v>
      </c>
      <c r="H33" s="272">
        <v>10257</v>
      </c>
      <c r="I33" s="272">
        <v>10257</v>
      </c>
      <c r="J33" s="272">
        <v>10257</v>
      </c>
      <c r="K33" s="272">
        <v>10257</v>
      </c>
      <c r="L33" s="272">
        <v>10257</v>
      </c>
      <c r="M33" s="272">
        <v>10257</v>
      </c>
      <c r="N33" s="272">
        <v>10664</v>
      </c>
      <c r="O33" s="272">
        <v>10664</v>
      </c>
      <c r="P33" s="272">
        <v>10664</v>
      </c>
      <c r="Q33" s="272">
        <v>10859</v>
      </c>
      <c r="R33" s="272">
        <v>10859</v>
      </c>
      <c r="S33" s="272">
        <v>10859</v>
      </c>
      <c r="T33" s="272">
        <v>10859</v>
      </c>
      <c r="U33" s="272">
        <v>10859</v>
      </c>
      <c r="V33" s="272">
        <v>10859</v>
      </c>
    </row>
    <row r="34" spans="1:22" ht="36" customHeight="1">
      <c r="A34" s="251">
        <v>18</v>
      </c>
      <c r="B34" s="253" t="s">
        <v>67</v>
      </c>
      <c r="C34" s="251" t="s">
        <v>7</v>
      </c>
      <c r="D34" s="254"/>
      <c r="E34" s="268">
        <v>84.85</v>
      </c>
      <c r="F34" s="268">
        <v>81.13</v>
      </c>
      <c r="G34" s="268">
        <v>79.62</v>
      </c>
      <c r="H34" s="268">
        <v>78.05</v>
      </c>
      <c r="I34" s="268">
        <v>78.05</v>
      </c>
      <c r="J34" s="268">
        <v>78.05</v>
      </c>
      <c r="K34" s="268">
        <v>77.89</v>
      </c>
      <c r="L34" s="268">
        <v>77.89</v>
      </c>
      <c r="M34" s="268">
        <v>77.89</v>
      </c>
      <c r="N34" s="268">
        <v>77.38</v>
      </c>
      <c r="O34" s="268">
        <v>77.38</v>
      </c>
      <c r="P34" s="268">
        <v>77.38</v>
      </c>
      <c r="Q34" s="268">
        <v>76.68</v>
      </c>
      <c r="R34" s="268">
        <v>76.68</v>
      </c>
      <c r="S34" s="268">
        <v>76.68</v>
      </c>
      <c r="T34" s="268">
        <v>76.03</v>
      </c>
      <c r="U34" s="268">
        <v>76.03</v>
      </c>
      <c r="V34" s="268">
        <v>76.03</v>
      </c>
    </row>
    <row r="35" spans="1:22" ht="33" customHeight="1">
      <c r="A35" s="251">
        <v>19</v>
      </c>
      <c r="B35" s="253" t="s">
        <v>69</v>
      </c>
      <c r="C35" s="251" t="s">
        <v>39</v>
      </c>
      <c r="D35" s="254"/>
      <c r="E35" s="268">
        <v>30839</v>
      </c>
      <c r="F35" s="268">
        <v>30998</v>
      </c>
      <c r="G35" s="268">
        <v>31055</v>
      </c>
      <c r="H35" s="268">
        <v>31080</v>
      </c>
      <c r="I35" s="268">
        <v>31080</v>
      </c>
      <c r="J35" s="268">
        <v>31080</v>
      </c>
      <c r="K35" s="268">
        <v>31033</v>
      </c>
      <c r="L35" s="268">
        <v>31033</v>
      </c>
      <c r="M35" s="268">
        <v>31033</v>
      </c>
      <c r="N35" s="268">
        <v>31036</v>
      </c>
      <c r="O35" s="268">
        <v>31036</v>
      </c>
      <c r="P35" s="268">
        <v>31036</v>
      </c>
      <c r="Q35" s="268">
        <v>30997</v>
      </c>
      <c r="R35" s="268">
        <v>30997</v>
      </c>
      <c r="S35" s="268">
        <v>30998</v>
      </c>
      <c r="T35" s="268">
        <v>30923</v>
      </c>
      <c r="U35" s="268">
        <v>30923</v>
      </c>
      <c r="V35" s="268">
        <v>30923</v>
      </c>
    </row>
    <row r="36" spans="1:22" ht="35.25" customHeight="1">
      <c r="A36" s="251">
        <v>20</v>
      </c>
      <c r="B36" s="253" t="s">
        <v>68</v>
      </c>
      <c r="C36" s="251" t="s">
        <v>39</v>
      </c>
      <c r="D36" s="254"/>
      <c r="E36" s="268">
        <v>378</v>
      </c>
      <c r="F36" s="268">
        <v>273</v>
      </c>
      <c r="G36" s="268">
        <v>309</v>
      </c>
      <c r="H36" s="268">
        <v>309</v>
      </c>
      <c r="I36" s="268">
        <v>309</v>
      </c>
      <c r="J36" s="268">
        <v>309</v>
      </c>
      <c r="K36" s="268">
        <v>309</v>
      </c>
      <c r="L36" s="268">
        <v>302</v>
      </c>
      <c r="M36" s="268">
        <v>302</v>
      </c>
      <c r="N36" s="268">
        <v>309</v>
      </c>
      <c r="O36" s="268">
        <v>302</v>
      </c>
      <c r="P36" s="268">
        <v>302</v>
      </c>
      <c r="Q36" s="268">
        <v>302</v>
      </c>
      <c r="R36" s="268">
        <v>302</v>
      </c>
      <c r="S36" s="268">
        <v>302</v>
      </c>
      <c r="T36" s="268">
        <v>302</v>
      </c>
      <c r="U36" s="268">
        <v>295</v>
      </c>
      <c r="V36" s="268">
        <v>295</v>
      </c>
    </row>
    <row r="37" spans="1:22" ht="45.75" customHeight="1">
      <c r="A37" s="251">
        <v>21</v>
      </c>
      <c r="B37" s="253" t="s">
        <v>70</v>
      </c>
      <c r="C37" s="251" t="s">
        <v>7</v>
      </c>
      <c r="D37" s="254"/>
      <c r="E37" s="268">
        <f aca="true" t="shared" si="2" ref="E37:V37">E36/E35*100</f>
        <v>1.2257206783618146</v>
      </c>
      <c r="F37" s="268">
        <f t="shared" si="2"/>
        <v>0.880701980772953</v>
      </c>
      <c r="G37" s="268">
        <f t="shared" si="2"/>
        <v>0.9950088552568024</v>
      </c>
      <c r="H37" s="268">
        <f t="shared" si="2"/>
        <v>0.9942084942084941</v>
      </c>
      <c r="I37" s="268">
        <f t="shared" si="2"/>
        <v>0.9942084942084941</v>
      </c>
      <c r="J37" s="268">
        <f t="shared" si="2"/>
        <v>0.9942084942084941</v>
      </c>
      <c r="K37" s="268">
        <f t="shared" si="2"/>
        <v>0.9957142396803403</v>
      </c>
      <c r="L37" s="268">
        <f t="shared" si="2"/>
        <v>0.9731576064189734</v>
      </c>
      <c r="M37" s="268">
        <f t="shared" si="2"/>
        <v>0.9731576064189734</v>
      </c>
      <c r="N37" s="268">
        <f t="shared" si="2"/>
        <v>0.9956179920092796</v>
      </c>
      <c r="O37" s="268">
        <f t="shared" si="2"/>
        <v>0.9730635391158654</v>
      </c>
      <c r="P37" s="268">
        <f t="shared" si="2"/>
        <v>0.9730635391158654</v>
      </c>
      <c r="Q37" s="268">
        <f t="shared" si="2"/>
        <v>0.9742878343065458</v>
      </c>
      <c r="R37" s="268">
        <f t="shared" si="2"/>
        <v>0.9742878343065458</v>
      </c>
      <c r="S37" s="268">
        <f t="shared" si="2"/>
        <v>0.9742564036389444</v>
      </c>
      <c r="T37" s="268">
        <f t="shared" si="2"/>
        <v>0.9766193448242408</v>
      </c>
      <c r="U37" s="268">
        <f t="shared" si="2"/>
        <v>0.9539824725932153</v>
      </c>
      <c r="V37" s="268">
        <f t="shared" si="2"/>
        <v>0.9539824725932153</v>
      </c>
    </row>
    <row r="38" spans="1:22" ht="75">
      <c r="A38" s="255">
        <v>22</v>
      </c>
      <c r="B38" s="256" t="s">
        <v>90</v>
      </c>
      <c r="C38" s="255" t="s">
        <v>7</v>
      </c>
      <c r="D38" s="254"/>
      <c r="E38" s="272">
        <v>16.22</v>
      </c>
      <c r="F38" s="272">
        <v>16.06</v>
      </c>
      <c r="G38" s="272">
        <v>16.13</v>
      </c>
      <c r="H38" s="272">
        <v>15.84</v>
      </c>
      <c r="I38" s="272">
        <v>15.84</v>
      </c>
      <c r="J38" s="272">
        <v>15.84</v>
      </c>
      <c r="K38" s="272">
        <v>15.83</v>
      </c>
      <c r="L38" s="272">
        <v>15.83</v>
      </c>
      <c r="M38" s="272">
        <v>15.83</v>
      </c>
      <c r="N38" s="272">
        <v>15.71</v>
      </c>
      <c r="O38" s="272">
        <v>15.71</v>
      </c>
      <c r="P38" s="272">
        <v>15.71</v>
      </c>
      <c r="Q38" s="272">
        <v>15.61</v>
      </c>
      <c r="R38" s="272">
        <v>15.61</v>
      </c>
      <c r="S38" s="272">
        <v>15.61</v>
      </c>
      <c r="T38" s="272">
        <v>15.51</v>
      </c>
      <c r="U38" s="272">
        <v>15.51</v>
      </c>
      <c r="V38" s="272">
        <v>15.51</v>
      </c>
    </row>
    <row r="39" spans="1:22" ht="36.75" customHeight="1">
      <c r="A39" s="313" t="s">
        <v>157</v>
      </c>
      <c r="B39" s="314"/>
      <c r="C39" s="251"/>
      <c r="D39" s="254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69"/>
    </row>
    <row r="40" spans="1:23" ht="45.75" customHeight="1">
      <c r="A40" s="257">
        <v>23</v>
      </c>
      <c r="B40" s="253" t="s">
        <v>102</v>
      </c>
      <c r="C40" s="251" t="s">
        <v>103</v>
      </c>
      <c r="D40" s="254"/>
      <c r="E40" s="268">
        <f>Лист3!E34</f>
        <v>324</v>
      </c>
      <c r="F40" s="268">
        <f>Лист3!F34</f>
        <v>340</v>
      </c>
      <c r="G40" s="268">
        <f>Лист3!G34</f>
        <v>329</v>
      </c>
      <c r="H40" s="268">
        <f>Лист3!H34</f>
        <v>329</v>
      </c>
      <c r="I40" s="268">
        <f>Лист3!I34</f>
        <v>329</v>
      </c>
      <c r="J40" s="268">
        <v>329</v>
      </c>
      <c r="K40" s="268">
        <f>Лист3!K34</f>
        <v>329</v>
      </c>
      <c r="L40" s="268">
        <f>Лист3!L34</f>
        <v>329</v>
      </c>
      <c r="M40" s="268">
        <v>329</v>
      </c>
      <c r="N40" s="268">
        <f>Лист3!N34</f>
        <v>329</v>
      </c>
      <c r="O40" s="268">
        <f>Лист3!O34</f>
        <v>329</v>
      </c>
      <c r="P40" s="268">
        <v>329</v>
      </c>
      <c r="Q40" s="268">
        <f>Лист3!Q34</f>
        <v>329</v>
      </c>
      <c r="R40" s="268">
        <f>Лист3!R34</f>
        <v>329</v>
      </c>
      <c r="S40" s="268">
        <v>329</v>
      </c>
      <c r="T40" s="268">
        <f>Лист3!T34</f>
        <v>329</v>
      </c>
      <c r="U40" s="268">
        <f>Лист3!U34</f>
        <v>329</v>
      </c>
      <c r="V40" s="268">
        <v>329</v>
      </c>
      <c r="W40" s="250"/>
    </row>
    <row r="41" spans="1:22" ht="28.5" customHeight="1">
      <c r="A41" s="257">
        <v>24</v>
      </c>
      <c r="B41" s="253" t="s">
        <v>169</v>
      </c>
      <c r="C41" s="251" t="s">
        <v>103</v>
      </c>
      <c r="D41" s="254"/>
      <c r="E41" s="268">
        <f>Лист3!E36</f>
        <v>900</v>
      </c>
      <c r="F41" s="268">
        <f>Лист3!F36</f>
        <v>892</v>
      </c>
      <c r="G41" s="268">
        <v>844</v>
      </c>
      <c r="H41" s="268">
        <v>845</v>
      </c>
      <c r="I41" s="268">
        <v>845</v>
      </c>
      <c r="J41" s="268">
        <v>845</v>
      </c>
      <c r="K41" s="268">
        <v>848</v>
      </c>
      <c r="L41" s="268">
        <v>848</v>
      </c>
      <c r="M41" s="268">
        <v>848</v>
      </c>
      <c r="N41" s="268">
        <v>847</v>
      </c>
      <c r="O41" s="268">
        <v>847</v>
      </c>
      <c r="P41" s="268">
        <v>847</v>
      </c>
      <c r="Q41" s="268">
        <v>849</v>
      </c>
      <c r="R41" s="268">
        <v>849</v>
      </c>
      <c r="S41" s="268">
        <v>849</v>
      </c>
      <c r="T41" s="268">
        <v>851</v>
      </c>
      <c r="U41" s="268">
        <v>851</v>
      </c>
      <c r="V41" s="268">
        <v>851</v>
      </c>
    </row>
    <row r="42" spans="1:22" ht="45">
      <c r="A42" s="258">
        <v>25</v>
      </c>
      <c r="B42" s="253" t="s">
        <v>104</v>
      </c>
      <c r="C42" s="251" t="s">
        <v>39</v>
      </c>
      <c r="D42" s="254"/>
      <c r="E42" s="268">
        <v>1975</v>
      </c>
      <c r="F42" s="268">
        <v>2025</v>
      </c>
      <c r="G42" s="271">
        <v>2025</v>
      </c>
      <c r="H42" s="271">
        <v>2028</v>
      </c>
      <c r="I42" s="271">
        <v>2028</v>
      </c>
      <c r="J42" s="271">
        <v>2028</v>
      </c>
      <c r="K42" s="271">
        <v>2031</v>
      </c>
      <c r="L42" s="271">
        <v>2031</v>
      </c>
      <c r="M42" s="271">
        <v>2031</v>
      </c>
      <c r="N42" s="271">
        <v>2034</v>
      </c>
      <c r="O42" s="271">
        <v>2034</v>
      </c>
      <c r="P42" s="271">
        <v>2034</v>
      </c>
      <c r="Q42" s="271">
        <v>2037</v>
      </c>
      <c r="R42" s="271">
        <v>2037</v>
      </c>
      <c r="S42" s="271">
        <v>2037</v>
      </c>
      <c r="T42" s="271">
        <v>2042</v>
      </c>
      <c r="U42" s="271">
        <v>2048</v>
      </c>
      <c r="V42" s="271">
        <v>2048</v>
      </c>
    </row>
    <row r="43" spans="1:22" ht="20.25" customHeight="1">
      <c r="A43" s="317">
        <v>26</v>
      </c>
      <c r="B43" s="319" t="s">
        <v>141</v>
      </c>
      <c r="C43" s="259" t="s">
        <v>52</v>
      </c>
      <c r="D43" s="254"/>
      <c r="E43" s="268">
        <f>Лист3!E45</f>
        <v>3758735</v>
      </c>
      <c r="F43" s="268">
        <f>Лист3!F45</f>
        <v>3660000</v>
      </c>
      <c r="G43" s="268">
        <f>Лист3!G45</f>
        <v>3660000</v>
      </c>
      <c r="H43" s="268">
        <f>Лист3!H45</f>
        <v>3581310</v>
      </c>
      <c r="I43" s="268">
        <f>Лист3!I45</f>
        <v>3681557.4</v>
      </c>
      <c r="J43" s="268">
        <v>3681557.4</v>
      </c>
      <c r="K43" s="268">
        <f>Лист3!K45</f>
        <v>3504311.835</v>
      </c>
      <c r="L43" s="268">
        <f>Лист3!L45</f>
        <v>3828819.6959999995</v>
      </c>
      <c r="M43" s="268">
        <v>3828819.7</v>
      </c>
      <c r="N43" s="268">
        <f>Лист3!N45</f>
        <v>3651492.93207</v>
      </c>
      <c r="O43" s="268">
        <f>Лист3!O45</f>
        <v>3985801.3035359993</v>
      </c>
      <c r="P43" s="268">
        <v>3985801.3</v>
      </c>
      <c r="Q43" s="268">
        <f>Лист3!Q45</f>
        <v>3801204.14228487</v>
      </c>
      <c r="R43" s="268">
        <f>Лист3!R45</f>
        <v>4149219.156980975</v>
      </c>
      <c r="S43" s="268">
        <v>4149219.16</v>
      </c>
      <c r="T43" s="268">
        <f>Лист3!T45</f>
        <v>3957053.5121185496</v>
      </c>
      <c r="U43" s="268">
        <f>Лист3!U45</f>
        <v>4323486.361574176</v>
      </c>
      <c r="V43" s="268">
        <v>4323486.36</v>
      </c>
    </row>
    <row r="44" spans="1:22" ht="28.5" customHeight="1">
      <c r="A44" s="318"/>
      <c r="B44" s="319"/>
      <c r="C44" s="251" t="s">
        <v>6</v>
      </c>
      <c r="D44" s="254"/>
      <c r="E44" s="268">
        <f>Лист3!E46</f>
        <v>88.32399393280555</v>
      </c>
      <c r="F44" s="268">
        <f>Лист3!F46</f>
        <v>90.66404599021425</v>
      </c>
      <c r="G44" s="268">
        <f>Лист3!G46</f>
        <v>95.41984732824427</v>
      </c>
      <c r="H44" s="268">
        <f>Лист3!H46</f>
        <v>97.85000000000001</v>
      </c>
      <c r="I44" s="268">
        <f>Лист3!I46</f>
        <v>100.589</v>
      </c>
      <c r="J44" s="268">
        <v>100.59</v>
      </c>
      <c r="K44" s="268">
        <f>Лист3!K46</f>
        <v>97.85000000000001</v>
      </c>
      <c r="L44" s="268">
        <f>Лист3!L46</f>
        <v>103.99999999999999</v>
      </c>
      <c r="M44" s="268">
        <v>104</v>
      </c>
      <c r="N44" s="268">
        <f>Лист3!N46</f>
        <v>104.2</v>
      </c>
      <c r="O44" s="268">
        <f>Лист3!O46</f>
        <v>104.1</v>
      </c>
      <c r="P44" s="268">
        <v>104</v>
      </c>
      <c r="Q44" s="268">
        <f>Лист3!Q46</f>
        <v>104.1</v>
      </c>
      <c r="R44" s="268">
        <f>Лист3!R46</f>
        <v>104.1</v>
      </c>
      <c r="S44" s="268">
        <v>104.1</v>
      </c>
      <c r="T44" s="268">
        <f>Лист3!T46</f>
        <v>104.1</v>
      </c>
      <c r="U44" s="268">
        <f>Лист3!U46</f>
        <v>104.2</v>
      </c>
      <c r="V44" s="268">
        <v>104.2</v>
      </c>
    </row>
    <row r="45" spans="1:22" ht="21.75" customHeight="1">
      <c r="A45" s="313" t="s">
        <v>158</v>
      </c>
      <c r="B45" s="314"/>
      <c r="C45" s="251"/>
      <c r="D45" s="254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69"/>
    </row>
    <row r="46" spans="1:22" ht="21" customHeight="1">
      <c r="A46" s="251">
        <v>27</v>
      </c>
      <c r="B46" s="253" t="s">
        <v>51</v>
      </c>
      <c r="C46" s="251" t="s">
        <v>52</v>
      </c>
      <c r="D46" s="254"/>
      <c r="E46" s="268">
        <v>6498313.53</v>
      </c>
      <c r="F46" s="268">
        <v>7255319.27</v>
      </c>
      <c r="G46" s="268">
        <v>7823584.99</v>
      </c>
      <c r="H46" s="268">
        <v>8183905.99</v>
      </c>
      <c r="I46" s="268">
        <v>8225892.6</v>
      </c>
      <c r="J46" s="268">
        <v>8225892.6</v>
      </c>
      <c r="K46" s="268">
        <v>8590505.32</v>
      </c>
      <c r="L46" s="268">
        <v>8677331.72</v>
      </c>
      <c r="M46" s="268">
        <v>8677331.72</v>
      </c>
      <c r="N46" s="268">
        <v>9105697.02</v>
      </c>
      <c r="O46" s="268">
        <v>9249924.23</v>
      </c>
      <c r="P46" s="268">
        <v>9249924.23</v>
      </c>
      <c r="Q46" s="268">
        <v>9604224.29</v>
      </c>
      <c r="R46" s="268">
        <v>9798496.38</v>
      </c>
      <c r="S46" s="268">
        <v>9798496.38</v>
      </c>
      <c r="T46" s="268">
        <v>10084429.05</v>
      </c>
      <c r="U46" s="268">
        <v>10342894.67</v>
      </c>
      <c r="V46" s="268">
        <v>10342894.67</v>
      </c>
    </row>
    <row r="47" spans="1:22" ht="21.75" customHeight="1">
      <c r="A47" s="251">
        <v>28</v>
      </c>
      <c r="B47" s="253" t="s">
        <v>55</v>
      </c>
      <c r="C47" s="251" t="s">
        <v>21</v>
      </c>
      <c r="D47" s="254"/>
      <c r="E47" s="268">
        <v>13487.6</v>
      </c>
      <c r="F47" s="268">
        <v>14855.3</v>
      </c>
      <c r="G47" s="268">
        <v>15786.1</v>
      </c>
      <c r="H47" s="268">
        <v>16394</v>
      </c>
      <c r="I47" s="268">
        <v>16478.2</v>
      </c>
      <c r="J47" s="268">
        <v>16478.2</v>
      </c>
      <c r="K47" s="268">
        <v>17126.2</v>
      </c>
      <c r="L47" s="268">
        <v>17258</v>
      </c>
      <c r="M47" s="268">
        <v>17258</v>
      </c>
      <c r="N47" s="268">
        <v>18023.9</v>
      </c>
      <c r="O47" s="268">
        <v>18252.2</v>
      </c>
      <c r="P47" s="268">
        <v>18252.2</v>
      </c>
      <c r="Q47" s="268">
        <v>18920.9</v>
      </c>
      <c r="R47" s="268">
        <v>19258.1</v>
      </c>
      <c r="S47" s="268">
        <v>19258.1</v>
      </c>
      <c r="T47" s="268">
        <v>19727</v>
      </c>
      <c r="U47" s="268">
        <v>20185.2</v>
      </c>
      <c r="V47" s="268">
        <v>20185.2</v>
      </c>
    </row>
    <row r="48" spans="1:22" ht="21.75" customHeight="1">
      <c r="A48" s="311">
        <v>29</v>
      </c>
      <c r="B48" s="312" t="s">
        <v>84</v>
      </c>
      <c r="C48" s="251" t="s">
        <v>52</v>
      </c>
      <c r="D48" s="254"/>
      <c r="E48" s="268">
        <v>3557400</v>
      </c>
      <c r="F48" s="268">
        <v>4166200</v>
      </c>
      <c r="G48" s="268">
        <v>4601400</v>
      </c>
      <c r="H48" s="268">
        <v>4827300</v>
      </c>
      <c r="I48" s="268">
        <v>4871500</v>
      </c>
      <c r="J48" s="268">
        <v>4915700</v>
      </c>
      <c r="K48" s="268">
        <v>5120500</v>
      </c>
      <c r="L48" s="268">
        <v>5209700</v>
      </c>
      <c r="M48" s="268">
        <v>5328100</v>
      </c>
      <c r="N48" s="268">
        <v>5432100</v>
      </c>
      <c r="O48" s="268">
        <v>5572200</v>
      </c>
      <c r="P48" s="271">
        <v>5760900</v>
      </c>
      <c r="Q48" s="268">
        <v>5763300</v>
      </c>
      <c r="R48" s="268">
        <v>5960800</v>
      </c>
      <c r="S48" s="271">
        <v>6230000</v>
      </c>
      <c r="T48" s="268">
        <v>6115400</v>
      </c>
      <c r="U48" s="268">
        <v>6377300</v>
      </c>
      <c r="V48" s="268">
        <v>6738500</v>
      </c>
    </row>
    <row r="49" spans="1:22" ht="39" customHeight="1">
      <c r="A49" s="311"/>
      <c r="B49" s="312"/>
      <c r="C49" s="251" t="s">
        <v>6</v>
      </c>
      <c r="D49" s="254"/>
      <c r="E49" s="268">
        <v>102.82</v>
      </c>
      <c r="F49" s="272">
        <f>F48/E48*100</f>
        <v>117.1136223084275</v>
      </c>
      <c r="G49" s="272">
        <f>G48/F48*100</f>
        <v>110.44596994863424</v>
      </c>
      <c r="H49" s="272">
        <f>H48/G48*100</f>
        <v>104.90937540748469</v>
      </c>
      <c r="I49" s="272">
        <f>I48/G48*100</f>
        <v>105.8699526231147</v>
      </c>
      <c r="J49" s="272">
        <f aca="true" t="shared" si="3" ref="J49:V49">J48/G48*100</f>
        <v>106.83052983874472</v>
      </c>
      <c r="K49" s="272">
        <f t="shared" si="3"/>
        <v>106.07378866032772</v>
      </c>
      <c r="L49" s="272">
        <f t="shared" si="3"/>
        <v>106.94242019911731</v>
      </c>
      <c r="M49" s="272">
        <f t="shared" si="3"/>
        <v>108.3894460605814</v>
      </c>
      <c r="N49" s="272">
        <f t="shared" si="3"/>
        <v>106.08534322820037</v>
      </c>
      <c r="O49" s="272">
        <f t="shared" si="3"/>
        <v>106.95817417509646</v>
      </c>
      <c r="P49" s="272">
        <f t="shared" si="3"/>
        <v>108.122970664965</v>
      </c>
      <c r="Q49" s="272">
        <f t="shared" si="3"/>
        <v>106.09708952338875</v>
      </c>
      <c r="R49" s="272">
        <f t="shared" si="3"/>
        <v>106.97390617709344</v>
      </c>
      <c r="S49" s="272">
        <f t="shared" si="3"/>
        <v>108.1428249058307</v>
      </c>
      <c r="T49" s="272">
        <f t="shared" si="3"/>
        <v>106.10934707546025</v>
      </c>
      <c r="U49" s="272">
        <f t="shared" si="3"/>
        <v>106.98731713863911</v>
      </c>
      <c r="V49" s="272">
        <f t="shared" si="3"/>
        <v>108.16211878009632</v>
      </c>
    </row>
    <row r="50" spans="1:22" ht="21.75" customHeight="1">
      <c r="A50" s="251">
        <v>30</v>
      </c>
      <c r="B50" s="253" t="s">
        <v>82</v>
      </c>
      <c r="C50" s="251" t="s">
        <v>59</v>
      </c>
      <c r="D50" s="254"/>
      <c r="E50" s="268">
        <v>15.6</v>
      </c>
      <c r="F50" s="268">
        <v>15.1</v>
      </c>
      <c r="G50" s="268">
        <v>14.05</v>
      </c>
      <c r="H50" s="268">
        <v>13.46</v>
      </c>
      <c r="I50" s="268">
        <v>13</v>
      </c>
      <c r="J50" s="268">
        <v>13</v>
      </c>
      <c r="K50" s="268">
        <v>12.76</v>
      </c>
      <c r="L50" s="268">
        <v>11.95</v>
      </c>
      <c r="M50" s="268">
        <v>11.95</v>
      </c>
      <c r="N50" s="268">
        <v>11.43</v>
      </c>
      <c r="O50" s="268">
        <v>10.9</v>
      </c>
      <c r="P50" s="268">
        <v>10.9</v>
      </c>
      <c r="Q50" s="268">
        <v>10.99</v>
      </c>
      <c r="R50" s="268">
        <v>9.38</v>
      </c>
      <c r="S50" s="268">
        <v>9.38</v>
      </c>
      <c r="T50" s="268">
        <v>10.43</v>
      </c>
      <c r="U50" s="268">
        <v>8.6</v>
      </c>
      <c r="V50" s="268">
        <v>8.6</v>
      </c>
    </row>
    <row r="51" spans="1:22" ht="36" customHeight="1">
      <c r="A51" s="311">
        <v>31</v>
      </c>
      <c r="B51" s="312" t="s">
        <v>168</v>
      </c>
      <c r="C51" s="251" t="s">
        <v>13</v>
      </c>
      <c r="D51" s="254"/>
      <c r="E51" s="268">
        <f>E48/12/E25*1000</f>
        <v>25556.03448275862</v>
      </c>
      <c r="F51" s="268">
        <f>F48/12/F25*1000</f>
        <v>28322.99994561375</v>
      </c>
      <c r="G51" s="268">
        <f>G48/12/G25*1000</f>
        <v>31235.744542196157</v>
      </c>
      <c r="H51" s="268">
        <f>H48/12/H25*1000</f>
        <v>32723.907915073618</v>
      </c>
      <c r="I51" s="268">
        <f>I48/12/I25*1000</f>
        <v>33023.53642994658</v>
      </c>
      <c r="J51" s="268">
        <v>33023.54</v>
      </c>
      <c r="K51" s="268">
        <f aca="true" t="shared" si="4" ref="K51:V51">K48/12/K25*1000</f>
        <v>34663.55266720823</v>
      </c>
      <c r="L51" s="268">
        <f t="shared" si="4"/>
        <v>35267.397779583</v>
      </c>
      <c r="M51" s="268">
        <f t="shared" si="4"/>
        <v>36068.91416192797</v>
      </c>
      <c r="N51" s="268">
        <f t="shared" si="4"/>
        <v>36722.23574267867</v>
      </c>
      <c r="O51" s="268">
        <f t="shared" si="4"/>
        <v>37669.343717043885</v>
      </c>
      <c r="P51" s="268">
        <f t="shared" si="4"/>
        <v>38944.998783158924</v>
      </c>
      <c r="Q51" s="268">
        <f t="shared" si="4"/>
        <v>38857.20064724919</v>
      </c>
      <c r="R51" s="268">
        <f t="shared" si="4"/>
        <v>40188.781014023734</v>
      </c>
      <c r="S51" s="268">
        <f t="shared" si="4"/>
        <v>42003.77562028048</v>
      </c>
      <c r="T51" s="268">
        <f t="shared" si="4"/>
        <v>41174.49031806308</v>
      </c>
      <c r="U51" s="268">
        <f t="shared" si="4"/>
        <v>42937.84169561821</v>
      </c>
      <c r="V51" s="268">
        <f t="shared" si="4"/>
        <v>45369.77188871832</v>
      </c>
    </row>
    <row r="52" spans="1:22" ht="31.5" customHeight="1">
      <c r="A52" s="311"/>
      <c r="B52" s="312"/>
      <c r="C52" s="251" t="s">
        <v>6</v>
      </c>
      <c r="D52" s="254"/>
      <c r="E52" s="268">
        <v>100.34</v>
      </c>
      <c r="F52" s="272">
        <f>F51/E51*100</f>
        <v>110.82705325320272</v>
      </c>
      <c r="G52" s="272">
        <f>G51/F51*100</f>
        <v>110.2840257111729</v>
      </c>
      <c r="H52" s="272">
        <f>H51/G51*100</f>
        <v>104.76429614433269</v>
      </c>
      <c r="I52" s="272">
        <f>I51/G51*100</f>
        <v>105.72354497692638</v>
      </c>
      <c r="J52" s="272">
        <f aca="true" t="shared" si="5" ref="J52:V52">J51/G51*100</f>
        <v>105.72355640631113</v>
      </c>
      <c r="K52" s="272">
        <f t="shared" si="5"/>
        <v>105.92730170604456</v>
      </c>
      <c r="L52" s="272">
        <f t="shared" si="5"/>
        <v>106.79473367244105</v>
      </c>
      <c r="M52" s="272">
        <f t="shared" si="5"/>
        <v>109.2218283137664</v>
      </c>
      <c r="N52" s="272">
        <f t="shared" si="5"/>
        <v>105.93904235735756</v>
      </c>
      <c r="O52" s="272">
        <f t="shared" si="5"/>
        <v>106.81066959482737</v>
      </c>
      <c r="P52" s="272">
        <f>P51/M51*100</f>
        <v>107.97385972951403</v>
      </c>
      <c r="Q52" s="272">
        <f t="shared" si="5"/>
        <v>105.81382059504962</v>
      </c>
      <c r="R52" s="272">
        <f t="shared" si="5"/>
        <v>106.68829623341674</v>
      </c>
      <c r="S52" s="272">
        <f>S51/P51*100</f>
        <v>107.85409406263551</v>
      </c>
      <c r="T52" s="272">
        <f t="shared" si="5"/>
        <v>105.96360425407521</v>
      </c>
      <c r="U52" s="272">
        <f t="shared" si="5"/>
        <v>106.84036841185902</v>
      </c>
      <c r="V52" s="272">
        <f t="shared" si="5"/>
        <v>108.01355644517979</v>
      </c>
    </row>
    <row r="53" spans="1:22" ht="18.75" customHeight="1">
      <c r="A53" s="315" t="s">
        <v>92</v>
      </c>
      <c r="B53" s="316"/>
      <c r="C53" s="251"/>
      <c r="D53" s="254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69"/>
    </row>
    <row r="54" spans="1:22" ht="30.75" customHeight="1">
      <c r="A54" s="311">
        <v>32</v>
      </c>
      <c r="B54" s="312" t="s">
        <v>142</v>
      </c>
      <c r="C54" s="251" t="s">
        <v>28</v>
      </c>
      <c r="D54" s="254"/>
      <c r="E54" s="268">
        <v>2594.3</v>
      </c>
      <c r="F54" s="268">
        <v>3137.1</v>
      </c>
      <c r="G54" s="268">
        <v>3357.1</v>
      </c>
      <c r="H54" s="268">
        <v>3571.8</v>
      </c>
      <c r="I54" s="268">
        <v>3589.3</v>
      </c>
      <c r="J54" s="268">
        <v>3606.7</v>
      </c>
      <c r="K54" s="268">
        <v>3818.7</v>
      </c>
      <c r="L54" s="268">
        <v>3863.5</v>
      </c>
      <c r="M54" s="268">
        <v>3901</v>
      </c>
      <c r="N54" s="268">
        <v>4082.7</v>
      </c>
      <c r="O54" s="268">
        <v>4158.7</v>
      </c>
      <c r="P54" s="268">
        <v>4219.3</v>
      </c>
      <c r="Q54" s="268">
        <v>4386.1</v>
      </c>
      <c r="R54" s="268">
        <v>4498</v>
      </c>
      <c r="S54" s="268">
        <v>4581.1</v>
      </c>
      <c r="T54" s="268">
        <v>4725.8</v>
      </c>
      <c r="U54" s="268">
        <v>4879.1</v>
      </c>
      <c r="V54" s="268">
        <v>4988.3</v>
      </c>
    </row>
    <row r="55" spans="1:22" ht="54" customHeight="1">
      <c r="A55" s="311"/>
      <c r="B55" s="312"/>
      <c r="C55" s="260" t="s">
        <v>23</v>
      </c>
      <c r="D55" s="254"/>
      <c r="E55" s="268">
        <v>115.3</v>
      </c>
      <c r="F55" s="268">
        <v>115.4</v>
      </c>
      <c r="G55" s="268">
        <v>102.7</v>
      </c>
      <c r="H55" s="268">
        <v>102.5</v>
      </c>
      <c r="I55" s="268">
        <v>103.2</v>
      </c>
      <c r="J55" s="268">
        <v>103.7</v>
      </c>
      <c r="K55" s="268">
        <v>102.9</v>
      </c>
      <c r="L55" s="268">
        <v>103.6</v>
      </c>
      <c r="M55" s="268">
        <v>104.1</v>
      </c>
      <c r="N55" s="268">
        <v>102.9</v>
      </c>
      <c r="O55" s="268">
        <v>103.6</v>
      </c>
      <c r="P55" s="268">
        <v>104.1</v>
      </c>
      <c r="Q55" s="268">
        <v>103.2</v>
      </c>
      <c r="R55" s="268">
        <v>104</v>
      </c>
      <c r="S55" s="268">
        <v>104.4</v>
      </c>
      <c r="T55" s="268">
        <v>103.6</v>
      </c>
      <c r="U55" s="268">
        <v>104.3</v>
      </c>
      <c r="V55" s="268">
        <v>104.7</v>
      </c>
    </row>
    <row r="56" spans="1:22" ht="23.25" customHeight="1">
      <c r="A56" s="251">
        <v>33</v>
      </c>
      <c r="B56" s="253" t="s">
        <v>11</v>
      </c>
      <c r="C56" s="251" t="s">
        <v>7</v>
      </c>
      <c r="D56" s="254"/>
      <c r="E56" s="268">
        <v>102.5</v>
      </c>
      <c r="F56" s="268">
        <v>104.3</v>
      </c>
      <c r="G56" s="268">
        <v>104.3</v>
      </c>
      <c r="H56" s="268">
        <v>104.2</v>
      </c>
      <c r="I56" s="268">
        <v>103.8</v>
      </c>
      <c r="J56" s="268">
        <v>103.8</v>
      </c>
      <c r="K56" s="268">
        <v>104</v>
      </c>
      <c r="L56" s="268">
        <v>104</v>
      </c>
      <c r="M56" s="268">
        <v>104</v>
      </c>
      <c r="N56" s="268">
        <v>104</v>
      </c>
      <c r="O56" s="268">
        <v>104</v>
      </c>
      <c r="P56" s="268">
        <v>104</v>
      </c>
      <c r="Q56" s="268">
        <v>104</v>
      </c>
      <c r="R56" s="268">
        <v>104</v>
      </c>
      <c r="S56" s="268">
        <v>104</v>
      </c>
      <c r="T56" s="268">
        <v>104</v>
      </c>
      <c r="U56" s="268">
        <v>104</v>
      </c>
      <c r="V56" s="268">
        <v>104</v>
      </c>
    </row>
    <row r="57" spans="1:22" ht="30.75" customHeight="1">
      <c r="A57" s="311">
        <v>34</v>
      </c>
      <c r="B57" s="312" t="s">
        <v>167</v>
      </c>
      <c r="C57" s="251" t="s">
        <v>28</v>
      </c>
      <c r="D57" s="254"/>
      <c r="E57" s="268">
        <v>249.8</v>
      </c>
      <c r="F57" s="268">
        <v>100.96</v>
      </c>
      <c r="G57" s="268">
        <v>101</v>
      </c>
      <c r="H57" s="268">
        <v>107.3</v>
      </c>
      <c r="I57" s="268">
        <v>107.3</v>
      </c>
      <c r="J57" s="268">
        <v>107.3</v>
      </c>
      <c r="K57" s="268">
        <v>113.8</v>
      </c>
      <c r="L57" s="268">
        <v>114.8</v>
      </c>
      <c r="M57" s="268">
        <v>114.8</v>
      </c>
      <c r="N57" s="268">
        <v>120.6</v>
      </c>
      <c r="O57" s="268">
        <v>122.7</v>
      </c>
      <c r="P57" s="268">
        <v>122.7</v>
      </c>
      <c r="Q57" s="268">
        <v>127.7</v>
      </c>
      <c r="R57" s="268">
        <v>131.2</v>
      </c>
      <c r="S57" s="268">
        <v>131.2</v>
      </c>
      <c r="T57" s="268">
        <v>135.1</v>
      </c>
      <c r="U57" s="268">
        <v>140.2</v>
      </c>
      <c r="V57" s="268">
        <v>140.2</v>
      </c>
    </row>
    <row r="58" spans="1:22" ht="60" customHeight="1">
      <c r="A58" s="311"/>
      <c r="B58" s="312"/>
      <c r="C58" s="52" t="s">
        <v>41</v>
      </c>
      <c r="D58" s="21"/>
      <c r="E58" s="268">
        <v>103.3</v>
      </c>
      <c r="F58" s="268">
        <v>69</v>
      </c>
      <c r="G58" s="268">
        <v>104.93</v>
      </c>
      <c r="H58" s="268">
        <v>101.5</v>
      </c>
      <c r="I58" s="268">
        <v>102</v>
      </c>
      <c r="J58" s="268">
        <v>102</v>
      </c>
      <c r="K58" s="268">
        <v>101.6</v>
      </c>
      <c r="L58" s="268">
        <v>102.4</v>
      </c>
      <c r="M58" s="268">
        <v>102.4</v>
      </c>
      <c r="N58" s="268">
        <v>101.6</v>
      </c>
      <c r="O58" s="268">
        <v>102.4</v>
      </c>
      <c r="P58" s="268">
        <v>102.4</v>
      </c>
      <c r="Q58" s="268">
        <v>101.6</v>
      </c>
      <c r="R58" s="268">
        <v>102.6</v>
      </c>
      <c r="S58" s="268">
        <v>102.6</v>
      </c>
      <c r="T58" s="268">
        <v>101.6</v>
      </c>
      <c r="U58" s="268">
        <v>102.7</v>
      </c>
      <c r="V58" s="268">
        <v>102.7</v>
      </c>
    </row>
    <row r="59" spans="1:22" ht="17.25" customHeight="1">
      <c r="A59" s="315" t="s">
        <v>93</v>
      </c>
      <c r="B59" s="316"/>
      <c r="C59" s="251"/>
      <c r="D59" s="254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69"/>
    </row>
    <row r="60" spans="1:22" ht="18.75" customHeight="1">
      <c r="A60" s="320">
        <v>35</v>
      </c>
      <c r="B60" s="312" t="s">
        <v>156</v>
      </c>
      <c r="C60" s="251" t="s">
        <v>28</v>
      </c>
      <c r="D60" s="254"/>
      <c r="E60" s="268">
        <v>15880</v>
      </c>
      <c r="F60" s="268">
        <v>19872.8</v>
      </c>
      <c r="G60" s="268">
        <v>20551</v>
      </c>
      <c r="H60" s="268">
        <v>18960.3</v>
      </c>
      <c r="I60" s="268">
        <v>20694.8</v>
      </c>
      <c r="J60" s="268">
        <v>21270.3</v>
      </c>
      <c r="K60" s="268">
        <v>17087</v>
      </c>
      <c r="L60" s="268">
        <v>22143.5</v>
      </c>
      <c r="M60" s="268">
        <v>23120.8</v>
      </c>
      <c r="N60" s="268">
        <v>16685.5</v>
      </c>
      <c r="O60" s="268">
        <v>22962.8</v>
      </c>
      <c r="P60" s="268">
        <v>26010.9</v>
      </c>
      <c r="Q60" s="268">
        <v>16169.9</v>
      </c>
      <c r="R60" s="268">
        <v>23215.4</v>
      </c>
      <c r="S60" s="268">
        <v>28820.1</v>
      </c>
      <c r="T60" s="268">
        <v>15498.9</v>
      </c>
      <c r="U60" s="268">
        <v>23679.7</v>
      </c>
      <c r="V60" s="52">
        <v>32797.2</v>
      </c>
    </row>
    <row r="61" spans="1:22" ht="42.75" customHeight="1">
      <c r="A61" s="321"/>
      <c r="B61" s="312"/>
      <c r="C61" s="251" t="s">
        <v>6</v>
      </c>
      <c r="D61" s="254"/>
      <c r="E61" s="268">
        <v>106</v>
      </c>
      <c r="F61" s="268">
        <v>124.7</v>
      </c>
      <c r="G61" s="268">
        <v>103.4</v>
      </c>
      <c r="H61" s="268">
        <v>92.3</v>
      </c>
      <c r="I61" s="268">
        <v>100.7</v>
      </c>
      <c r="J61" s="268">
        <v>103.5</v>
      </c>
      <c r="K61" s="268">
        <v>90.1</v>
      </c>
      <c r="L61" s="268">
        <v>107</v>
      </c>
      <c r="M61" s="268">
        <v>108.7</v>
      </c>
      <c r="N61" s="268">
        <v>97.6</v>
      </c>
      <c r="O61" s="268">
        <v>103.7</v>
      </c>
      <c r="P61" s="268">
        <v>112.5</v>
      </c>
      <c r="Q61" s="268">
        <v>96.9</v>
      </c>
      <c r="R61" s="268">
        <v>101.1</v>
      </c>
      <c r="S61" s="268">
        <v>110.8</v>
      </c>
      <c r="T61" s="268">
        <v>95.9</v>
      </c>
      <c r="U61" s="268">
        <v>102</v>
      </c>
      <c r="V61" s="268">
        <v>113.8</v>
      </c>
    </row>
    <row r="62" spans="1:22" ht="18.75" customHeight="1">
      <c r="A62" s="321"/>
      <c r="B62" s="261" t="s">
        <v>53</v>
      </c>
      <c r="C62" s="251"/>
      <c r="D62" s="254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69"/>
    </row>
    <row r="63" spans="1:22" ht="18.75" customHeight="1">
      <c r="A63" s="321"/>
      <c r="B63" s="312" t="s">
        <v>26</v>
      </c>
      <c r="C63" s="251" t="s">
        <v>28</v>
      </c>
      <c r="D63" s="254"/>
      <c r="E63" s="268">
        <v>0</v>
      </c>
      <c r="F63" s="268">
        <v>0</v>
      </c>
      <c r="G63" s="268">
        <v>0</v>
      </c>
      <c r="H63" s="268">
        <v>0</v>
      </c>
      <c r="I63" s="268">
        <v>0</v>
      </c>
      <c r="J63" s="268">
        <v>0</v>
      </c>
      <c r="K63" s="268">
        <v>0</v>
      </c>
      <c r="L63" s="268">
        <v>0</v>
      </c>
      <c r="M63" s="268">
        <v>0</v>
      </c>
      <c r="N63" s="268">
        <v>0</v>
      </c>
      <c r="O63" s="268">
        <v>0</v>
      </c>
      <c r="P63" s="268">
        <v>0</v>
      </c>
      <c r="Q63" s="268">
        <v>0</v>
      </c>
      <c r="R63" s="268">
        <v>0</v>
      </c>
      <c r="S63" s="268">
        <v>0</v>
      </c>
      <c r="T63" s="268">
        <v>0</v>
      </c>
      <c r="U63" s="268">
        <v>0</v>
      </c>
      <c r="V63" s="268">
        <v>0</v>
      </c>
    </row>
    <row r="64" spans="1:22" ht="30.75" customHeight="1">
      <c r="A64" s="321"/>
      <c r="B64" s="312"/>
      <c r="C64" s="251" t="s">
        <v>6</v>
      </c>
      <c r="D64" s="254"/>
      <c r="E64" s="268">
        <v>0</v>
      </c>
      <c r="F64" s="268">
        <v>0</v>
      </c>
      <c r="G64" s="268">
        <v>0</v>
      </c>
      <c r="H64" s="268">
        <v>0</v>
      </c>
      <c r="I64" s="268">
        <v>0</v>
      </c>
      <c r="J64" s="268">
        <v>0</v>
      </c>
      <c r="K64" s="268">
        <v>0</v>
      </c>
      <c r="L64" s="268">
        <v>0</v>
      </c>
      <c r="M64" s="268">
        <v>0</v>
      </c>
      <c r="N64" s="268">
        <v>0</v>
      </c>
      <c r="O64" s="268">
        <v>0</v>
      </c>
      <c r="P64" s="268">
        <v>0</v>
      </c>
      <c r="Q64" s="268">
        <v>0</v>
      </c>
      <c r="R64" s="268">
        <v>0</v>
      </c>
      <c r="S64" s="268">
        <v>0</v>
      </c>
      <c r="T64" s="268">
        <v>0</v>
      </c>
      <c r="U64" s="268">
        <v>0</v>
      </c>
      <c r="V64" s="268">
        <v>0</v>
      </c>
    </row>
    <row r="65" spans="1:22" ht="22.5" customHeight="1">
      <c r="A65" s="321"/>
      <c r="B65" s="286" t="s">
        <v>27</v>
      </c>
      <c r="C65" s="20" t="s">
        <v>28</v>
      </c>
      <c r="D65" s="21"/>
      <c r="E65" s="268">
        <v>12864.1</v>
      </c>
      <c r="F65" s="268">
        <v>16547.9</v>
      </c>
      <c r="G65" s="268">
        <v>19943.3</v>
      </c>
      <c r="H65" s="268">
        <v>18327.1</v>
      </c>
      <c r="I65" s="268">
        <v>20061.6</v>
      </c>
      <c r="J65" s="268">
        <v>20617.1</v>
      </c>
      <c r="K65" s="268">
        <v>16428.5</v>
      </c>
      <c r="L65" s="268">
        <v>21485</v>
      </c>
      <c r="M65" s="268">
        <v>22441.2</v>
      </c>
      <c r="N65" s="268">
        <v>16000.6</v>
      </c>
      <c r="O65" s="268">
        <v>22277.9</v>
      </c>
      <c r="P65" s="268">
        <v>25238.4</v>
      </c>
      <c r="Q65" s="268">
        <v>15457.7</v>
      </c>
      <c r="R65" s="268">
        <v>22503.2</v>
      </c>
      <c r="S65" s="268">
        <v>27963.6</v>
      </c>
      <c r="T65" s="268">
        <v>14758.2</v>
      </c>
      <c r="U65" s="268">
        <v>22939</v>
      </c>
      <c r="V65" s="268">
        <v>31872.5</v>
      </c>
    </row>
    <row r="66" spans="1:22" ht="42" customHeight="1">
      <c r="A66" s="321"/>
      <c r="B66" s="402"/>
      <c r="C66" s="20" t="s">
        <v>6</v>
      </c>
      <c r="D66" s="21"/>
      <c r="E66" s="268">
        <v>107.9</v>
      </c>
      <c r="F66" s="268">
        <v>128.6</v>
      </c>
      <c r="G66" s="268">
        <v>107.3</v>
      </c>
      <c r="H66" s="268">
        <v>91.9</v>
      </c>
      <c r="I66" s="268">
        <v>100.6</v>
      </c>
      <c r="J66" s="268">
        <v>122.7</v>
      </c>
      <c r="K66" s="268">
        <v>89.6</v>
      </c>
      <c r="L66" s="268">
        <v>107.1</v>
      </c>
      <c r="M66" s="268">
        <v>91.7</v>
      </c>
      <c r="N66" s="268">
        <v>97.4</v>
      </c>
      <c r="O66" s="268">
        <v>103.7</v>
      </c>
      <c r="P66" s="268">
        <v>112.5</v>
      </c>
      <c r="Q66" s="268">
        <v>96.6</v>
      </c>
      <c r="R66" s="268">
        <v>101</v>
      </c>
      <c r="S66" s="268">
        <v>110.8</v>
      </c>
      <c r="T66" s="268">
        <v>95.5</v>
      </c>
      <c r="U66" s="268">
        <v>101.9</v>
      </c>
      <c r="V66" s="403">
        <f>V65/S65*100</f>
        <v>113.97852923085728</v>
      </c>
    </row>
    <row r="67" spans="1:22" ht="30.75" customHeight="1">
      <c r="A67" s="321"/>
      <c r="B67" s="286" t="s">
        <v>96</v>
      </c>
      <c r="C67" s="20" t="s">
        <v>28</v>
      </c>
      <c r="D67" s="21"/>
      <c r="E67" s="268">
        <v>507.4</v>
      </c>
      <c r="F67" s="268">
        <v>490.4</v>
      </c>
      <c r="G67" s="268">
        <v>607</v>
      </c>
      <c r="H67" s="268">
        <v>632.5</v>
      </c>
      <c r="I67" s="268">
        <v>632.5</v>
      </c>
      <c r="J67" s="268">
        <v>652.5</v>
      </c>
      <c r="K67" s="268">
        <v>657.8</v>
      </c>
      <c r="L67" s="268">
        <v>657.8</v>
      </c>
      <c r="M67" s="268">
        <v>678.9</v>
      </c>
      <c r="N67" s="268">
        <v>684.2</v>
      </c>
      <c r="O67" s="268">
        <v>684.2</v>
      </c>
      <c r="P67" s="268">
        <v>771.8</v>
      </c>
      <c r="Q67" s="268">
        <v>711.5</v>
      </c>
      <c r="R67" s="268">
        <v>711.5</v>
      </c>
      <c r="S67" s="268">
        <v>855.8</v>
      </c>
      <c r="T67" s="268">
        <v>740</v>
      </c>
      <c r="U67" s="268">
        <v>740</v>
      </c>
      <c r="V67" s="20">
        <v>924</v>
      </c>
    </row>
    <row r="68" spans="1:22" ht="48" customHeight="1">
      <c r="A68" s="321"/>
      <c r="B68" s="402"/>
      <c r="C68" s="20" t="s">
        <v>6</v>
      </c>
      <c r="D68" s="21"/>
      <c r="E68" s="268">
        <v>106.2</v>
      </c>
      <c r="F68" s="268">
        <v>96.7</v>
      </c>
      <c r="G68" s="268">
        <v>123.8</v>
      </c>
      <c r="H68" s="268">
        <v>104.2</v>
      </c>
      <c r="I68" s="268">
        <v>104.2</v>
      </c>
      <c r="J68" s="268">
        <v>107.4</v>
      </c>
      <c r="K68" s="268">
        <v>104</v>
      </c>
      <c r="L68" s="268">
        <v>104</v>
      </c>
      <c r="M68" s="268">
        <v>104.1</v>
      </c>
      <c r="N68" s="268">
        <v>104</v>
      </c>
      <c r="O68" s="268">
        <v>104</v>
      </c>
      <c r="P68" s="268">
        <v>113.7</v>
      </c>
      <c r="Q68" s="268">
        <v>104</v>
      </c>
      <c r="R68" s="268">
        <v>104</v>
      </c>
      <c r="S68" s="268">
        <v>110.9</v>
      </c>
      <c r="T68" s="268">
        <v>104</v>
      </c>
      <c r="U68" s="268">
        <v>104</v>
      </c>
      <c r="V68" s="403">
        <f>V67/S67*100</f>
        <v>107.96915167095116</v>
      </c>
    </row>
    <row r="69" spans="1:22" ht="20.25" customHeight="1">
      <c r="A69" s="325"/>
      <c r="B69" s="286" t="s">
        <v>97</v>
      </c>
      <c r="C69" s="20" t="s">
        <v>28</v>
      </c>
      <c r="D69" s="21"/>
      <c r="E69" s="268">
        <v>6.1</v>
      </c>
      <c r="F69" s="268">
        <v>4.5</v>
      </c>
      <c r="G69" s="268">
        <v>0.7</v>
      </c>
      <c r="H69" s="268">
        <v>0.7</v>
      </c>
      <c r="I69" s="268">
        <v>0.7</v>
      </c>
      <c r="J69" s="268">
        <v>0.7</v>
      </c>
      <c r="K69" s="268">
        <v>0.7</v>
      </c>
      <c r="L69" s="268">
        <v>0.7</v>
      </c>
      <c r="M69" s="268">
        <v>0.7</v>
      </c>
      <c r="N69" s="268">
        <v>0.7</v>
      </c>
      <c r="O69" s="268">
        <v>0.7</v>
      </c>
      <c r="P69" s="268">
        <v>0.7</v>
      </c>
      <c r="Q69" s="268">
        <v>0.7</v>
      </c>
      <c r="R69" s="268">
        <v>0.7</v>
      </c>
      <c r="S69" s="268">
        <v>0.7</v>
      </c>
      <c r="T69" s="268">
        <v>0.7</v>
      </c>
      <c r="U69" s="268">
        <v>0.7</v>
      </c>
      <c r="V69" s="268">
        <v>0.7</v>
      </c>
    </row>
    <row r="70" spans="1:22" ht="49.5" customHeight="1">
      <c r="A70" s="326"/>
      <c r="B70" s="402"/>
      <c r="C70" s="20" t="s">
        <v>6</v>
      </c>
      <c r="D70" s="21"/>
      <c r="E70" s="268">
        <v>111.7</v>
      </c>
      <c r="F70" s="268">
        <v>73.3</v>
      </c>
      <c r="G70" s="268">
        <v>13.1</v>
      </c>
      <c r="H70" s="268">
        <v>104.1</v>
      </c>
      <c r="I70" s="268">
        <v>104.1</v>
      </c>
      <c r="J70" s="268">
        <v>107.5</v>
      </c>
      <c r="K70" s="268">
        <v>104</v>
      </c>
      <c r="L70" s="268">
        <v>104</v>
      </c>
      <c r="M70" s="268">
        <v>104.1</v>
      </c>
      <c r="N70" s="268">
        <v>104</v>
      </c>
      <c r="O70" s="268">
        <v>104</v>
      </c>
      <c r="P70" s="268">
        <v>113.7</v>
      </c>
      <c r="Q70" s="268">
        <v>104</v>
      </c>
      <c r="R70" s="268">
        <v>104</v>
      </c>
      <c r="S70" s="268">
        <v>110.9</v>
      </c>
      <c r="T70" s="268">
        <v>104</v>
      </c>
      <c r="U70" s="268">
        <v>104</v>
      </c>
      <c r="V70" s="403">
        <f>V69/S69*100</f>
        <v>100</v>
      </c>
    </row>
    <row r="71" spans="1:22" ht="47.25" customHeight="1">
      <c r="A71" s="23">
        <v>36</v>
      </c>
      <c r="B71" s="19" t="s">
        <v>88</v>
      </c>
      <c r="C71" s="20" t="s">
        <v>80</v>
      </c>
      <c r="D71" s="21"/>
      <c r="E71" s="268">
        <v>102.6</v>
      </c>
      <c r="F71" s="268">
        <v>101.4</v>
      </c>
      <c r="G71" s="268">
        <v>99</v>
      </c>
      <c r="H71" s="268">
        <v>88.6</v>
      </c>
      <c r="I71" s="268">
        <v>97.1</v>
      </c>
      <c r="J71" s="268">
        <v>99.8</v>
      </c>
      <c r="K71" s="268">
        <v>86.5</v>
      </c>
      <c r="L71" s="268">
        <v>103.1</v>
      </c>
      <c r="M71" s="268">
        <v>104.7</v>
      </c>
      <c r="N71" s="268">
        <v>93.8</v>
      </c>
      <c r="O71" s="268">
        <v>99.7</v>
      </c>
      <c r="P71" s="268">
        <v>108.2</v>
      </c>
      <c r="Q71" s="268">
        <v>92.6</v>
      </c>
      <c r="R71" s="268">
        <v>96.7</v>
      </c>
      <c r="S71" s="268">
        <v>105.9</v>
      </c>
      <c r="T71" s="268">
        <v>91.7</v>
      </c>
      <c r="U71" s="268">
        <v>97.5</v>
      </c>
      <c r="V71" s="20">
        <v>108.8</v>
      </c>
    </row>
    <row r="72" spans="1:22" ht="20.25" customHeight="1">
      <c r="A72" s="311">
        <v>37</v>
      </c>
      <c r="B72" s="323" t="s">
        <v>8</v>
      </c>
      <c r="C72" s="251" t="s">
        <v>9</v>
      </c>
      <c r="D72" s="254"/>
      <c r="E72" s="268">
        <v>10630</v>
      </c>
      <c r="F72" s="268">
        <v>22190</v>
      </c>
      <c r="G72" s="268">
        <v>7805</v>
      </c>
      <c r="H72" s="268">
        <v>6556</v>
      </c>
      <c r="I72" s="268">
        <v>7805</v>
      </c>
      <c r="J72" s="268">
        <v>7812</v>
      </c>
      <c r="K72" s="268">
        <v>6556</v>
      </c>
      <c r="L72" s="268">
        <v>7805</v>
      </c>
      <c r="M72" s="268">
        <v>7812</v>
      </c>
      <c r="N72" s="268">
        <v>6556</v>
      </c>
      <c r="O72" s="268">
        <v>7805</v>
      </c>
      <c r="P72" s="268">
        <v>7812</v>
      </c>
      <c r="Q72" s="268">
        <v>6556</v>
      </c>
      <c r="R72" s="268">
        <v>7805</v>
      </c>
      <c r="S72" s="268">
        <v>7812</v>
      </c>
      <c r="T72" s="268">
        <v>6556</v>
      </c>
      <c r="U72" s="268">
        <v>7805</v>
      </c>
      <c r="V72" s="268">
        <v>7812</v>
      </c>
    </row>
    <row r="73" spans="1:22" ht="43.5" customHeight="1">
      <c r="A73" s="311"/>
      <c r="B73" s="324"/>
      <c r="C73" s="251" t="s">
        <v>6</v>
      </c>
      <c r="D73" s="254"/>
      <c r="E73" s="268">
        <v>77.03</v>
      </c>
      <c r="F73" s="268">
        <v>208.7</v>
      </c>
      <c r="G73" s="268">
        <v>35.2</v>
      </c>
      <c r="H73" s="268">
        <v>84</v>
      </c>
      <c r="I73" s="268">
        <v>100</v>
      </c>
      <c r="J73" s="268">
        <v>106.9</v>
      </c>
      <c r="K73" s="268">
        <v>84</v>
      </c>
      <c r="L73" s="268">
        <v>100</v>
      </c>
      <c r="M73" s="268">
        <v>106.9</v>
      </c>
      <c r="N73" s="268">
        <v>84</v>
      </c>
      <c r="O73" s="268">
        <v>100</v>
      </c>
      <c r="P73" s="268">
        <v>106.9</v>
      </c>
      <c r="Q73" s="268">
        <v>84</v>
      </c>
      <c r="R73" s="268">
        <v>100</v>
      </c>
      <c r="S73" s="268">
        <v>106.9</v>
      </c>
      <c r="T73" s="268">
        <v>84</v>
      </c>
      <c r="U73" s="268">
        <v>100</v>
      </c>
      <c r="V73" s="268">
        <v>106.9</v>
      </c>
    </row>
    <row r="74" spans="1:22" ht="20.25" customHeight="1">
      <c r="A74" s="315" t="s">
        <v>159</v>
      </c>
      <c r="B74" s="316"/>
      <c r="C74" s="260"/>
      <c r="D74" s="254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31"/>
    </row>
    <row r="75" spans="1:22" ht="39.75" customHeight="1">
      <c r="A75" s="262">
        <v>38</v>
      </c>
      <c r="B75" s="263" t="s">
        <v>79</v>
      </c>
      <c r="C75" s="251" t="s">
        <v>52</v>
      </c>
      <c r="D75" s="254"/>
      <c r="E75" s="268">
        <v>268000</v>
      </c>
      <c r="F75" s="268">
        <v>248535</v>
      </c>
      <c r="G75" s="268">
        <v>284100</v>
      </c>
      <c r="H75" s="268">
        <v>285000</v>
      </c>
      <c r="I75" s="268">
        <v>290000</v>
      </c>
      <c r="J75" s="268">
        <v>295000</v>
      </c>
      <c r="K75" s="268">
        <v>297000</v>
      </c>
      <c r="L75" s="268">
        <v>303000</v>
      </c>
      <c r="M75" s="268">
        <v>310000</v>
      </c>
      <c r="N75" s="268">
        <v>315000</v>
      </c>
      <c r="O75" s="268">
        <v>323000</v>
      </c>
      <c r="P75" s="268">
        <v>332000</v>
      </c>
      <c r="Q75" s="268">
        <v>335000</v>
      </c>
      <c r="R75" s="268">
        <v>345000</v>
      </c>
      <c r="S75" s="268">
        <v>355000</v>
      </c>
      <c r="T75" s="268">
        <v>357000</v>
      </c>
      <c r="U75" s="268">
        <v>370000</v>
      </c>
      <c r="V75" s="20">
        <v>385000</v>
      </c>
    </row>
    <row r="76" spans="1:22" ht="55.5" customHeight="1">
      <c r="A76" s="251">
        <v>39</v>
      </c>
      <c r="B76" s="253" t="s">
        <v>81</v>
      </c>
      <c r="C76" s="251" t="s">
        <v>80</v>
      </c>
      <c r="D76" s="254"/>
      <c r="E76" s="268">
        <v>72.2</v>
      </c>
      <c r="F76" s="268">
        <v>88.1</v>
      </c>
      <c r="G76" s="268">
        <v>108.8</v>
      </c>
      <c r="H76" s="268">
        <v>96.3</v>
      </c>
      <c r="I76" s="268">
        <v>98.2</v>
      </c>
      <c r="J76" s="268">
        <v>100</v>
      </c>
      <c r="K76" s="268">
        <v>100</v>
      </c>
      <c r="L76" s="268">
        <v>100.4</v>
      </c>
      <c r="M76" s="268">
        <v>101.2</v>
      </c>
      <c r="N76" s="268">
        <v>101.9</v>
      </c>
      <c r="O76" s="268">
        <v>102.4</v>
      </c>
      <c r="P76" s="268">
        <v>101.5</v>
      </c>
      <c r="Q76" s="268">
        <v>102.2</v>
      </c>
      <c r="R76" s="268">
        <v>102.6</v>
      </c>
      <c r="S76" s="268">
        <v>103</v>
      </c>
      <c r="T76" s="268">
        <v>102.5</v>
      </c>
      <c r="U76" s="268">
        <v>102.9</v>
      </c>
      <c r="V76" s="20">
        <v>104.5</v>
      </c>
    </row>
    <row r="77" spans="1:22" ht="56.25" customHeight="1">
      <c r="A77" s="255">
        <v>40</v>
      </c>
      <c r="B77" s="256" t="s">
        <v>154</v>
      </c>
      <c r="C77" s="251" t="s">
        <v>43</v>
      </c>
      <c r="D77" s="254"/>
      <c r="E77" s="268">
        <v>72.5</v>
      </c>
      <c r="F77" s="268">
        <v>92.8</v>
      </c>
      <c r="G77" s="268">
        <v>114.3</v>
      </c>
      <c r="H77" s="268">
        <v>100.3</v>
      </c>
      <c r="I77" s="268">
        <v>102.1</v>
      </c>
      <c r="J77" s="268">
        <v>103.8</v>
      </c>
      <c r="K77" s="268">
        <v>104.2</v>
      </c>
      <c r="L77" s="268">
        <v>104.5</v>
      </c>
      <c r="M77" s="268">
        <v>105.1</v>
      </c>
      <c r="N77" s="268">
        <v>106.1</v>
      </c>
      <c r="O77" s="268">
        <v>106.6</v>
      </c>
      <c r="P77" s="268">
        <v>107.1</v>
      </c>
      <c r="Q77" s="268">
        <v>106.3</v>
      </c>
      <c r="R77" s="268">
        <v>106.8</v>
      </c>
      <c r="S77" s="268">
        <v>106.9</v>
      </c>
      <c r="T77" s="268">
        <v>106.6</v>
      </c>
      <c r="U77" s="268">
        <v>107.2</v>
      </c>
      <c r="V77" s="20">
        <v>108.5</v>
      </c>
    </row>
    <row r="78" spans="1:22" ht="16.5" customHeight="1">
      <c r="A78" s="320">
        <v>41</v>
      </c>
      <c r="B78" s="252" t="s">
        <v>105</v>
      </c>
      <c r="C78" s="264"/>
      <c r="D78" s="254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69"/>
    </row>
    <row r="79" spans="1:22" ht="16.5" customHeight="1">
      <c r="A79" s="321"/>
      <c r="B79" s="45" t="s">
        <v>175</v>
      </c>
      <c r="C79" s="20" t="s">
        <v>38</v>
      </c>
      <c r="D79" s="21"/>
      <c r="E79" s="268">
        <v>204994</v>
      </c>
      <c r="F79" s="268">
        <v>216216</v>
      </c>
      <c r="G79" s="268">
        <v>247167</v>
      </c>
      <c r="H79" s="268">
        <v>247950</v>
      </c>
      <c r="I79" s="268">
        <v>252300</v>
      </c>
      <c r="J79" s="268">
        <v>256650</v>
      </c>
      <c r="K79" s="268">
        <v>258390</v>
      </c>
      <c r="L79" s="268">
        <v>263610</v>
      </c>
      <c r="M79" s="268">
        <v>269700</v>
      </c>
      <c r="N79" s="268">
        <v>274050</v>
      </c>
      <c r="O79" s="268">
        <v>281010</v>
      </c>
      <c r="P79" s="268">
        <v>288840</v>
      </c>
      <c r="Q79" s="268">
        <v>291450</v>
      </c>
      <c r="R79" s="268">
        <v>300150</v>
      </c>
      <c r="S79" s="268">
        <v>308850</v>
      </c>
      <c r="T79" s="268">
        <v>310590</v>
      </c>
      <c r="U79" s="268">
        <v>321900</v>
      </c>
      <c r="V79" s="268">
        <v>334950</v>
      </c>
    </row>
    <row r="80" spans="1:22" ht="18" customHeight="1">
      <c r="A80" s="321"/>
      <c r="B80" s="45" t="s">
        <v>152</v>
      </c>
      <c r="C80" s="20" t="s">
        <v>38</v>
      </c>
      <c r="D80" s="21"/>
      <c r="E80" s="268">
        <v>104097</v>
      </c>
      <c r="F80" s="268">
        <v>32319</v>
      </c>
      <c r="G80" s="268">
        <v>36933</v>
      </c>
      <c r="H80" s="268">
        <v>37050</v>
      </c>
      <c r="I80" s="268">
        <v>37700</v>
      </c>
      <c r="J80" s="268">
        <v>38350</v>
      </c>
      <c r="K80" s="268">
        <v>38610</v>
      </c>
      <c r="L80" s="268">
        <v>39390</v>
      </c>
      <c r="M80" s="268">
        <v>40300</v>
      </c>
      <c r="N80" s="268">
        <v>40950</v>
      </c>
      <c r="O80" s="268">
        <v>41990</v>
      </c>
      <c r="P80" s="268">
        <v>43160</v>
      </c>
      <c r="Q80" s="268">
        <v>43550</v>
      </c>
      <c r="R80" s="268">
        <v>44850</v>
      </c>
      <c r="S80" s="268">
        <v>46150</v>
      </c>
      <c r="T80" s="268">
        <v>46410</v>
      </c>
      <c r="U80" s="268">
        <v>48100</v>
      </c>
      <c r="V80" s="268">
        <v>50050</v>
      </c>
    </row>
    <row r="81" spans="1:22" ht="34.5" customHeight="1">
      <c r="A81" s="321"/>
      <c r="B81" s="253" t="s">
        <v>151</v>
      </c>
      <c r="C81" s="20" t="s">
        <v>38</v>
      </c>
      <c r="D81" s="21"/>
      <c r="E81" s="268">
        <v>10375</v>
      </c>
      <c r="F81" s="268">
        <v>0</v>
      </c>
      <c r="G81" s="268">
        <v>0</v>
      </c>
      <c r="H81" s="268">
        <v>0</v>
      </c>
      <c r="I81" s="268">
        <v>0</v>
      </c>
      <c r="J81" s="268">
        <v>0</v>
      </c>
      <c r="K81" s="268">
        <v>0</v>
      </c>
      <c r="L81" s="268">
        <v>0</v>
      </c>
      <c r="M81" s="268">
        <v>0</v>
      </c>
      <c r="N81" s="268">
        <v>0</v>
      </c>
      <c r="O81" s="268">
        <v>0</v>
      </c>
      <c r="P81" s="268">
        <v>0</v>
      </c>
      <c r="Q81" s="268">
        <v>0</v>
      </c>
      <c r="R81" s="268">
        <v>0</v>
      </c>
      <c r="S81" s="268">
        <v>0</v>
      </c>
      <c r="T81" s="268">
        <v>0</v>
      </c>
      <c r="U81" s="268">
        <v>0</v>
      </c>
      <c r="V81" s="268">
        <v>0</v>
      </c>
    </row>
    <row r="82" spans="1:22" ht="34.5" customHeight="1">
      <c r="A82" s="321"/>
      <c r="B82" s="265" t="s">
        <v>144</v>
      </c>
      <c r="C82" s="20" t="s">
        <v>38</v>
      </c>
      <c r="D82" s="21"/>
      <c r="E82" s="268">
        <v>0</v>
      </c>
      <c r="F82" s="268">
        <v>0</v>
      </c>
      <c r="G82" s="268">
        <v>0</v>
      </c>
      <c r="H82" s="268">
        <v>0</v>
      </c>
      <c r="I82" s="268">
        <v>0</v>
      </c>
      <c r="J82" s="268">
        <v>0</v>
      </c>
      <c r="K82" s="268">
        <v>0</v>
      </c>
      <c r="L82" s="268">
        <v>0</v>
      </c>
      <c r="M82" s="268">
        <v>0</v>
      </c>
      <c r="N82" s="268">
        <v>0</v>
      </c>
      <c r="O82" s="268">
        <v>0</v>
      </c>
      <c r="P82" s="268">
        <v>0</v>
      </c>
      <c r="Q82" s="268">
        <v>0</v>
      </c>
      <c r="R82" s="268">
        <v>0</v>
      </c>
      <c r="S82" s="268">
        <v>0</v>
      </c>
      <c r="T82" s="268">
        <v>0</v>
      </c>
      <c r="U82" s="268">
        <v>0</v>
      </c>
      <c r="V82" s="268">
        <v>0</v>
      </c>
    </row>
    <row r="83" spans="1:22" ht="34.5" customHeight="1">
      <c r="A83" s="321"/>
      <c r="B83" s="253" t="s">
        <v>145</v>
      </c>
      <c r="C83" s="20" t="s">
        <v>38</v>
      </c>
      <c r="D83" s="21"/>
      <c r="E83" s="268">
        <v>0</v>
      </c>
      <c r="F83" s="268">
        <v>0</v>
      </c>
      <c r="G83" s="268">
        <v>0</v>
      </c>
      <c r="H83" s="268">
        <v>0</v>
      </c>
      <c r="I83" s="268">
        <v>0</v>
      </c>
      <c r="J83" s="268">
        <v>0</v>
      </c>
      <c r="K83" s="268">
        <v>0</v>
      </c>
      <c r="L83" s="268">
        <v>0</v>
      </c>
      <c r="M83" s="268">
        <v>0</v>
      </c>
      <c r="N83" s="268">
        <v>0</v>
      </c>
      <c r="O83" s="268">
        <v>0</v>
      </c>
      <c r="P83" s="268">
        <v>0</v>
      </c>
      <c r="Q83" s="268">
        <v>0</v>
      </c>
      <c r="R83" s="268">
        <v>0</v>
      </c>
      <c r="S83" s="268">
        <v>0</v>
      </c>
      <c r="T83" s="268">
        <v>0</v>
      </c>
      <c r="U83" s="268">
        <v>0</v>
      </c>
      <c r="V83" s="268">
        <v>0</v>
      </c>
    </row>
    <row r="84" spans="1:22" ht="30.75" customHeight="1">
      <c r="A84" s="321"/>
      <c r="B84" s="253" t="s">
        <v>150</v>
      </c>
      <c r="C84" s="20" t="s">
        <v>38</v>
      </c>
      <c r="D84" s="21"/>
      <c r="E84" s="268">
        <v>77673</v>
      </c>
      <c r="F84" s="268">
        <v>30637</v>
      </c>
      <c r="G84" s="268">
        <v>35012</v>
      </c>
      <c r="H84" s="268">
        <v>35123</v>
      </c>
      <c r="I84" s="268">
        <v>35739</v>
      </c>
      <c r="J84" s="268">
        <v>36355.3</v>
      </c>
      <c r="K84" s="268">
        <v>36602</v>
      </c>
      <c r="L84" s="268">
        <v>37341</v>
      </c>
      <c r="M84" s="268">
        <v>38204.4</v>
      </c>
      <c r="N84" s="268">
        <v>38820</v>
      </c>
      <c r="O84" s="268">
        <v>39806</v>
      </c>
      <c r="P84" s="268">
        <v>46915.68</v>
      </c>
      <c r="Q84" s="268">
        <v>41285</v>
      </c>
      <c r="R84" s="268">
        <v>42517</v>
      </c>
      <c r="S84" s="268">
        <v>43750</v>
      </c>
      <c r="T84" s="268">
        <v>43996</v>
      </c>
      <c r="U84" s="268">
        <v>45598</v>
      </c>
      <c r="V84" s="268">
        <v>47447.4</v>
      </c>
    </row>
    <row r="85" spans="1:22" ht="19.5" customHeight="1">
      <c r="A85" s="321"/>
      <c r="B85" s="253" t="s">
        <v>146</v>
      </c>
      <c r="C85" s="20" t="s">
        <v>38</v>
      </c>
      <c r="D85" s="21"/>
      <c r="E85" s="268">
        <v>4842</v>
      </c>
      <c r="F85" s="268">
        <v>3924</v>
      </c>
      <c r="G85" s="268">
        <v>4482</v>
      </c>
      <c r="H85" s="268">
        <v>6083</v>
      </c>
      <c r="I85" s="268">
        <v>6190</v>
      </c>
      <c r="J85" s="268">
        <v>6296.82</v>
      </c>
      <c r="K85" s="268">
        <v>6339</v>
      </c>
      <c r="L85" s="268">
        <v>6467</v>
      </c>
      <c r="M85" s="268">
        <v>6617</v>
      </c>
      <c r="N85" s="268">
        <v>6723</v>
      </c>
      <c r="O85" s="268">
        <v>6894</v>
      </c>
      <c r="P85" s="268">
        <v>7086.6</v>
      </c>
      <c r="Q85" s="268">
        <v>7150</v>
      </c>
      <c r="R85" s="268">
        <v>7364</v>
      </c>
      <c r="S85" s="268">
        <v>7580</v>
      </c>
      <c r="T85" s="268">
        <v>7620</v>
      </c>
      <c r="U85" s="268">
        <v>7897</v>
      </c>
      <c r="V85" s="268">
        <v>8217.89</v>
      </c>
    </row>
    <row r="86" spans="1:22" ht="20.25" customHeight="1">
      <c r="A86" s="321"/>
      <c r="B86" s="253" t="s">
        <v>147</v>
      </c>
      <c r="C86" s="20" t="s">
        <v>38</v>
      </c>
      <c r="D86" s="21"/>
      <c r="E86" s="268">
        <v>51201</v>
      </c>
      <c r="F86" s="268">
        <v>16464</v>
      </c>
      <c r="G86" s="268">
        <v>18816</v>
      </c>
      <c r="H86" s="268">
        <v>17287</v>
      </c>
      <c r="I86" s="268">
        <v>17591</v>
      </c>
      <c r="J86" s="268">
        <v>17894.32</v>
      </c>
      <c r="K86" s="268">
        <v>18015</v>
      </c>
      <c r="L86" s="268">
        <v>18379</v>
      </c>
      <c r="M86" s="268">
        <v>18804.21</v>
      </c>
      <c r="N86" s="268">
        <v>19107</v>
      </c>
      <c r="O86" s="268">
        <v>19592</v>
      </c>
      <c r="P86" s="268">
        <v>20138.7</v>
      </c>
      <c r="Q86" s="268">
        <v>20320</v>
      </c>
      <c r="R86" s="268">
        <v>20927</v>
      </c>
      <c r="S86" s="268">
        <v>21530</v>
      </c>
      <c r="T86" s="268">
        <v>21655</v>
      </c>
      <c r="U86" s="268">
        <v>22443</v>
      </c>
      <c r="V86" s="268">
        <v>23353.61</v>
      </c>
    </row>
    <row r="87" spans="1:22" ht="20.25" customHeight="1">
      <c r="A87" s="321"/>
      <c r="B87" s="253" t="s">
        <v>148</v>
      </c>
      <c r="C87" s="20" t="s">
        <v>38</v>
      </c>
      <c r="D87" s="21"/>
      <c r="E87" s="268">
        <v>21630</v>
      </c>
      <c r="F87" s="268">
        <v>10251</v>
      </c>
      <c r="G87" s="268">
        <v>11715</v>
      </c>
      <c r="H87" s="268">
        <v>11752</v>
      </c>
      <c r="I87" s="268">
        <v>11958</v>
      </c>
      <c r="J87" s="268">
        <v>12164.65</v>
      </c>
      <c r="K87" s="268">
        <v>12247</v>
      </c>
      <c r="L87" s="268">
        <v>12494</v>
      </c>
      <c r="M87" s="268">
        <v>12783.19</v>
      </c>
      <c r="N87" s="268">
        <v>12989</v>
      </c>
      <c r="O87" s="268">
        <v>13319</v>
      </c>
      <c r="P87" s="268">
        <v>13690.39</v>
      </c>
      <c r="Q87" s="268">
        <v>13814</v>
      </c>
      <c r="R87" s="268">
        <v>14226</v>
      </c>
      <c r="S87" s="268">
        <v>14640</v>
      </c>
      <c r="T87" s="268">
        <v>14721</v>
      </c>
      <c r="U87" s="268">
        <v>15257</v>
      </c>
      <c r="V87" s="268">
        <v>15875</v>
      </c>
    </row>
    <row r="88" spans="1:22" ht="20.25" customHeight="1">
      <c r="A88" s="321"/>
      <c r="B88" s="253" t="s">
        <v>176</v>
      </c>
      <c r="C88" s="20" t="s">
        <v>38</v>
      </c>
      <c r="D88" s="21"/>
      <c r="E88" s="268">
        <v>4950</v>
      </c>
      <c r="F88" s="268">
        <v>0</v>
      </c>
      <c r="G88" s="268">
        <v>0</v>
      </c>
      <c r="H88" s="268">
        <v>0</v>
      </c>
      <c r="I88" s="268">
        <v>0</v>
      </c>
      <c r="J88" s="268">
        <v>0</v>
      </c>
      <c r="K88" s="268">
        <v>0</v>
      </c>
      <c r="L88" s="268">
        <v>0</v>
      </c>
      <c r="M88" s="268">
        <v>0</v>
      </c>
      <c r="N88" s="268">
        <v>0</v>
      </c>
      <c r="O88" s="268">
        <v>0</v>
      </c>
      <c r="P88" s="268">
        <v>0</v>
      </c>
      <c r="Q88" s="268">
        <v>0</v>
      </c>
      <c r="R88" s="268">
        <v>0</v>
      </c>
      <c r="S88" s="268">
        <v>0</v>
      </c>
      <c r="T88" s="268">
        <v>0</v>
      </c>
      <c r="U88" s="268">
        <v>0</v>
      </c>
      <c r="V88" s="268">
        <v>0</v>
      </c>
    </row>
    <row r="89" spans="1:22" ht="20.25" customHeight="1">
      <c r="A89" s="322"/>
      <c r="B89" s="253" t="s">
        <v>149</v>
      </c>
      <c r="C89" s="20" t="s">
        <v>38</v>
      </c>
      <c r="D89" s="21"/>
      <c r="E89" s="268">
        <v>11099</v>
      </c>
      <c r="F89" s="268">
        <v>1680</v>
      </c>
      <c r="G89" s="268">
        <v>1920</v>
      </c>
      <c r="H89" s="268">
        <v>1928</v>
      </c>
      <c r="I89" s="268">
        <v>1961</v>
      </c>
      <c r="J89" s="268">
        <v>1994.2</v>
      </c>
      <c r="K89" s="268">
        <v>2009</v>
      </c>
      <c r="L89" s="268">
        <v>2050</v>
      </c>
      <c r="M89" s="268">
        <v>2095.6</v>
      </c>
      <c r="N89" s="268">
        <v>2131</v>
      </c>
      <c r="O89" s="268">
        <v>2185</v>
      </c>
      <c r="P89" s="268">
        <v>2244.32</v>
      </c>
      <c r="Q89" s="268">
        <v>2266</v>
      </c>
      <c r="R89" s="268">
        <v>2333</v>
      </c>
      <c r="S89" s="268">
        <v>2400</v>
      </c>
      <c r="T89" s="268">
        <v>2414</v>
      </c>
      <c r="U89" s="268">
        <v>2503</v>
      </c>
      <c r="V89" s="268">
        <v>2602.6</v>
      </c>
    </row>
    <row r="90" spans="1:22" ht="49.5" customHeight="1">
      <c r="A90" s="313" t="s">
        <v>160</v>
      </c>
      <c r="B90" s="314"/>
      <c r="C90" s="251" t="s">
        <v>52</v>
      </c>
      <c r="D90" s="254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69"/>
    </row>
    <row r="91" spans="1:22" ht="20.25" customHeight="1">
      <c r="A91" s="266">
        <v>42</v>
      </c>
      <c r="B91" s="253" t="s">
        <v>137</v>
      </c>
      <c r="C91" s="251" t="s">
        <v>52</v>
      </c>
      <c r="D91" s="254"/>
      <c r="E91" s="268">
        <v>1017219</v>
      </c>
      <c r="F91" s="268">
        <v>1100326.85</v>
      </c>
      <c r="G91" s="268">
        <v>1197778.09</v>
      </c>
      <c r="H91" s="268">
        <f>SUM(H92+H104)</f>
        <v>1233226.2082</v>
      </c>
      <c r="I91" s="268">
        <f>SUM(I92+I104)</f>
        <v>1258394.0899999999</v>
      </c>
      <c r="J91" s="268">
        <f>SUM(J92+J104)</f>
        <v>1283561.9718</v>
      </c>
      <c r="K91" s="268">
        <f>SUM(K92+K104)</f>
        <v>1122661.0402000002</v>
      </c>
      <c r="L91" s="268">
        <f>SUM(L92+L104)</f>
        <v>1145572.49</v>
      </c>
      <c r="M91" s="268">
        <f>SUM(M92+M104)</f>
        <v>1168483.9398</v>
      </c>
      <c r="N91" s="268">
        <f>SUM(N92+N104)</f>
        <v>1061889.5546</v>
      </c>
      <c r="O91" s="268">
        <f>SUM(O92+O104)</f>
        <v>1083560.77</v>
      </c>
      <c r="P91" s="268">
        <f>SUM(P92+P104)</f>
        <v>1105231.9854000001</v>
      </c>
      <c r="Q91" s="268">
        <f>SUM(Q92+Q104)</f>
        <v>1075927.74395274</v>
      </c>
      <c r="R91" s="268">
        <f>SUM(R92+R104)</f>
        <v>1097885.453013</v>
      </c>
      <c r="S91" s="268">
        <f>SUM(S92+S104)</f>
        <v>1126172.2954631536</v>
      </c>
      <c r="T91" s="268">
        <f>SUM(T92+T104)</f>
        <v>1090455.8661138907</v>
      </c>
      <c r="U91" s="268">
        <f>SUM(U92+U104)</f>
        <v>1112710.0674631537</v>
      </c>
      <c r="V91" s="268">
        <v>1134964.2688124168</v>
      </c>
    </row>
    <row r="92" spans="1:22" ht="20.25" customHeight="1">
      <c r="A92" s="266">
        <v>43</v>
      </c>
      <c r="B92" s="253" t="s">
        <v>107</v>
      </c>
      <c r="C92" s="251" t="s">
        <v>52</v>
      </c>
      <c r="D92" s="254"/>
      <c r="E92" s="268">
        <v>343455.7</v>
      </c>
      <c r="F92" s="268">
        <v>378064.19</v>
      </c>
      <c r="G92" s="268">
        <v>372604.13</v>
      </c>
      <c r="H92" s="268">
        <f>SUM(H103+H93)</f>
        <v>416690.6002</v>
      </c>
      <c r="I92" s="268">
        <f>SUM(I103+I93)</f>
        <v>425194.49</v>
      </c>
      <c r="J92" s="268">
        <f>SUM(J103+J93)</f>
        <v>433698.3798</v>
      </c>
      <c r="K92" s="268">
        <f>SUM(K103+K93)</f>
        <v>416844.1662</v>
      </c>
      <c r="L92" s="268">
        <f>SUM(L103+L93)</f>
        <v>425351.19</v>
      </c>
      <c r="M92" s="268">
        <f>SUM(M103+M93)</f>
        <v>433858.2138</v>
      </c>
      <c r="N92" s="268">
        <f>SUM(N103+N93)</f>
        <v>430433.0226</v>
      </c>
      <c r="O92" s="268">
        <f>SUM(O103+O93)</f>
        <v>439217.37</v>
      </c>
      <c r="P92" s="268">
        <f>SUM(P103+P93)</f>
        <v>448001.71739999996</v>
      </c>
      <c r="Q92" s="268">
        <f>SUM(Q103+Q93)</f>
        <v>444471.21195274004</v>
      </c>
      <c r="R92" s="268">
        <f>SUM(R103+R93)</f>
        <v>453542.053013</v>
      </c>
      <c r="S92" s="268">
        <f>SUM(S103+S93)</f>
        <v>468942.0274631537</v>
      </c>
      <c r="T92" s="268">
        <f>SUM(T103+T93)</f>
        <v>458999.33411389065</v>
      </c>
      <c r="U92" s="268">
        <f>SUM(U103+U93)</f>
        <v>468366.6674631537</v>
      </c>
      <c r="V92" s="268">
        <v>477734.0008124168</v>
      </c>
    </row>
    <row r="93" spans="1:22" ht="34.5" customHeight="1">
      <c r="A93" s="320">
        <v>44</v>
      </c>
      <c r="B93" s="253" t="s">
        <v>138</v>
      </c>
      <c r="C93" s="251" t="s">
        <v>52</v>
      </c>
      <c r="D93" s="254"/>
      <c r="E93" s="268">
        <v>302888.2</v>
      </c>
      <c r="F93" s="268">
        <v>341385.43</v>
      </c>
      <c r="G93" s="268">
        <v>338951.13</v>
      </c>
      <c r="H93" s="268">
        <f aca="true" t="shared" si="6" ref="H93:H118">SUM(I93-I93*2/100)</f>
        <v>387717.8802</v>
      </c>
      <c r="I93" s="268">
        <v>395630.49</v>
      </c>
      <c r="J93" s="268">
        <f>SUM(I93+I93*2/100)</f>
        <v>403543.09979999997</v>
      </c>
      <c r="K93" s="268">
        <f aca="true" t="shared" si="7" ref="K93:K118">SUM(L93-L93*2/100)</f>
        <v>388649.5662</v>
      </c>
      <c r="L93" s="268">
        <v>396581.19</v>
      </c>
      <c r="M93" s="268">
        <f>SUM(L93+L93*2/100)</f>
        <v>404512.8138</v>
      </c>
      <c r="N93" s="268">
        <f>SUM(O93-O93*2/100)</f>
        <v>402240.3826</v>
      </c>
      <c r="O93" s="268">
        <v>410449.37</v>
      </c>
      <c r="P93" s="268">
        <f>SUM(O93+O93*2/100)</f>
        <v>418658.3574</v>
      </c>
      <c r="Q93" s="268">
        <f>SUM(N93+N93*3.49/100)</f>
        <v>416278.57195274</v>
      </c>
      <c r="R93" s="268">
        <f>SUM(O93+O93*3.49/100)</f>
        <v>424774.053013</v>
      </c>
      <c r="S93" s="268">
        <f>SUM(R93+R93*3.49/100)</f>
        <v>439598.6674631537</v>
      </c>
      <c r="T93" s="268">
        <f>SUM(Q93+Q93*3.49/100)</f>
        <v>430806.69411389064</v>
      </c>
      <c r="U93" s="268">
        <f>SUM(R93+R93*3.49/100)</f>
        <v>439598.6674631537</v>
      </c>
      <c r="V93" s="268">
        <v>448390.6408124168</v>
      </c>
    </row>
    <row r="94" spans="1:22" ht="20.25" customHeight="1">
      <c r="A94" s="321"/>
      <c r="B94" s="267" t="s">
        <v>109</v>
      </c>
      <c r="C94" s="251" t="s">
        <v>52</v>
      </c>
      <c r="D94" s="254"/>
      <c r="E94" s="268">
        <v>202295</v>
      </c>
      <c r="F94" s="268">
        <v>242764.73</v>
      </c>
      <c r="G94" s="268">
        <v>236991.38</v>
      </c>
      <c r="H94" s="268">
        <v>266428.65</v>
      </c>
      <c r="I94" s="268">
        <v>268766.49</v>
      </c>
      <c r="J94" s="268">
        <f aca="true" t="shared" si="8" ref="J94:J120">SUM(I94+I94*2/100)</f>
        <v>274141.8198</v>
      </c>
      <c r="K94" s="268">
        <v>277968.19</v>
      </c>
      <c r="L94" s="268">
        <v>280411.19</v>
      </c>
      <c r="M94" s="268">
        <f aca="true" t="shared" si="9" ref="M94:M120">SUM(L94+L94*2/100)</f>
        <v>286019.4138</v>
      </c>
      <c r="N94" s="268">
        <v>294490.26</v>
      </c>
      <c r="O94" s="268">
        <v>297081.37</v>
      </c>
      <c r="P94" s="268">
        <f aca="true" t="shared" si="10" ref="P94:P120">SUM(O94+O94*2/100)</f>
        <v>303022.9974</v>
      </c>
      <c r="Q94" s="268">
        <f>SUM(N94*5.9/100)+N94</f>
        <v>311865.18534</v>
      </c>
      <c r="R94" s="268">
        <f>SUM(O94*5.9/100)+O94</f>
        <v>314609.17083</v>
      </c>
      <c r="S94" s="268">
        <f>SUM(R94+R94*2/100)</f>
        <v>320901.3542466</v>
      </c>
      <c r="T94" s="268">
        <f>SUM(Q94*5.9/100)+Q94</f>
        <v>330265.23127506004</v>
      </c>
      <c r="U94" s="268">
        <f>SUM(R94*5.9/100)+R94</f>
        <v>333171.11190897</v>
      </c>
      <c r="V94" s="268">
        <v>339834.5341471494</v>
      </c>
    </row>
    <row r="95" spans="1:22" ht="55.5" customHeight="1">
      <c r="A95" s="321"/>
      <c r="B95" s="267" t="s">
        <v>111</v>
      </c>
      <c r="C95" s="251" t="s">
        <v>52</v>
      </c>
      <c r="D95" s="254"/>
      <c r="E95" s="268">
        <v>4360</v>
      </c>
      <c r="F95" s="268">
        <v>4705.6</v>
      </c>
      <c r="G95" s="268">
        <v>4804</v>
      </c>
      <c r="H95" s="268">
        <f t="shared" si="6"/>
        <v>4772.6</v>
      </c>
      <c r="I95" s="268">
        <v>4870</v>
      </c>
      <c r="J95" s="268">
        <f t="shared" si="8"/>
        <v>4967.4</v>
      </c>
      <c r="K95" s="268">
        <f t="shared" si="7"/>
        <v>4772.6</v>
      </c>
      <c r="L95" s="268">
        <v>4870</v>
      </c>
      <c r="M95" s="268">
        <f t="shared" si="9"/>
        <v>4967.4</v>
      </c>
      <c r="N95" s="268">
        <f>SUM(O95-O95*2/100)</f>
        <v>4772.6</v>
      </c>
      <c r="O95" s="268">
        <v>4870</v>
      </c>
      <c r="P95" s="268">
        <f t="shared" si="10"/>
        <v>4967.4</v>
      </c>
      <c r="Q95" s="268">
        <f>SUM(R95-R95*2/100)</f>
        <v>4772.6</v>
      </c>
      <c r="R95" s="268">
        <v>4870</v>
      </c>
      <c r="S95" s="268">
        <f aca="true" t="shared" si="11" ref="S95:S120">SUM(R95+R95*2/100)</f>
        <v>4967.4</v>
      </c>
      <c r="T95" s="268">
        <f>SUM(U95-U95*2/100)</f>
        <v>4772.6</v>
      </c>
      <c r="U95" s="268">
        <v>4870</v>
      </c>
      <c r="V95" s="268">
        <v>4967.4</v>
      </c>
    </row>
    <row r="96" spans="1:22" ht="33" customHeight="1">
      <c r="A96" s="321"/>
      <c r="B96" s="267" t="s">
        <v>113</v>
      </c>
      <c r="C96" s="251" t="s">
        <v>52</v>
      </c>
      <c r="D96" s="254"/>
      <c r="E96" s="268">
        <v>8143.8</v>
      </c>
      <c r="F96" s="268">
        <v>10437.21</v>
      </c>
      <c r="G96" s="268">
        <v>8770</v>
      </c>
      <c r="H96" s="268">
        <f t="shared" si="6"/>
        <v>9310</v>
      </c>
      <c r="I96" s="268">
        <v>9500</v>
      </c>
      <c r="J96" s="268">
        <f t="shared" si="8"/>
        <v>9690</v>
      </c>
      <c r="K96" s="268">
        <f t="shared" si="7"/>
        <v>9310</v>
      </c>
      <c r="L96" s="268">
        <v>9500</v>
      </c>
      <c r="M96" s="268">
        <f t="shared" si="9"/>
        <v>9690</v>
      </c>
      <c r="N96" s="268">
        <f>SUM(O96-O96*2/100)</f>
        <v>9310</v>
      </c>
      <c r="O96" s="268">
        <v>9500</v>
      </c>
      <c r="P96" s="268">
        <f t="shared" si="10"/>
        <v>9690</v>
      </c>
      <c r="Q96" s="268">
        <f>SUM(R96-R96*2/100)</f>
        <v>9310</v>
      </c>
      <c r="R96" s="268">
        <v>9500</v>
      </c>
      <c r="S96" s="268">
        <f t="shared" si="11"/>
        <v>9690</v>
      </c>
      <c r="T96" s="268">
        <f>SUM(U96-U96*2/100)</f>
        <v>9310</v>
      </c>
      <c r="U96" s="268">
        <v>9500</v>
      </c>
      <c r="V96" s="268">
        <v>9690</v>
      </c>
    </row>
    <row r="97" spans="1:22" ht="15">
      <c r="A97" s="321"/>
      <c r="B97" s="267" t="s">
        <v>117</v>
      </c>
      <c r="C97" s="251" t="s">
        <v>52</v>
      </c>
      <c r="D97" s="254"/>
      <c r="E97" s="268">
        <v>31689.4</v>
      </c>
      <c r="F97" s="268">
        <v>27910.81</v>
      </c>
      <c r="G97" s="268">
        <v>33032.58</v>
      </c>
      <c r="H97" s="268">
        <f t="shared" si="6"/>
        <v>28475.86</v>
      </c>
      <c r="I97" s="268">
        <v>29057</v>
      </c>
      <c r="J97" s="268">
        <f t="shared" si="8"/>
        <v>29638.14</v>
      </c>
      <c r="K97" s="268">
        <f t="shared" si="7"/>
        <v>28475.86</v>
      </c>
      <c r="L97" s="268">
        <v>29057</v>
      </c>
      <c r="M97" s="268">
        <f t="shared" si="9"/>
        <v>29638.14</v>
      </c>
      <c r="N97" s="268">
        <f>SUM(O97-O97*2/100)</f>
        <v>28475.86</v>
      </c>
      <c r="O97" s="268">
        <v>29057</v>
      </c>
      <c r="P97" s="268">
        <f t="shared" si="10"/>
        <v>29638.14</v>
      </c>
      <c r="Q97" s="268">
        <f>SUM(R97-R97*2/100)</f>
        <v>28475.86</v>
      </c>
      <c r="R97" s="268">
        <v>29057</v>
      </c>
      <c r="S97" s="268">
        <f t="shared" si="11"/>
        <v>29638.14</v>
      </c>
      <c r="T97" s="268">
        <f>SUM(U97-U97*2/100)</f>
        <v>28475.86</v>
      </c>
      <c r="U97" s="268">
        <v>29057</v>
      </c>
      <c r="V97" s="268">
        <v>29638.14</v>
      </c>
    </row>
    <row r="98" spans="1:22" ht="15">
      <c r="A98" s="321"/>
      <c r="B98" s="267" t="s">
        <v>162</v>
      </c>
      <c r="C98" s="251" t="s">
        <v>52</v>
      </c>
      <c r="D98" s="254"/>
      <c r="E98" s="268">
        <v>0.7</v>
      </c>
      <c r="F98" s="268">
        <v>-3.08</v>
      </c>
      <c r="G98" s="268">
        <v>11.41</v>
      </c>
      <c r="H98" s="268">
        <f t="shared" si="6"/>
        <v>9.8</v>
      </c>
      <c r="I98" s="268">
        <v>10</v>
      </c>
      <c r="J98" s="268">
        <f t="shared" si="8"/>
        <v>10.2</v>
      </c>
      <c r="K98" s="268">
        <f t="shared" si="7"/>
        <v>9.8</v>
      </c>
      <c r="L98" s="268">
        <v>10</v>
      </c>
      <c r="M98" s="268">
        <f t="shared" si="9"/>
        <v>10.2</v>
      </c>
      <c r="N98" s="268">
        <f>SUM(O98-O98*2/100)</f>
        <v>9.8</v>
      </c>
      <c r="O98" s="268">
        <v>10</v>
      </c>
      <c r="P98" s="268">
        <f t="shared" si="10"/>
        <v>10.2</v>
      </c>
      <c r="Q98" s="268">
        <f>SUM(R98-R98*2/100)</f>
        <v>9.8</v>
      </c>
      <c r="R98" s="268">
        <v>10</v>
      </c>
      <c r="S98" s="268">
        <f t="shared" si="11"/>
        <v>10.2</v>
      </c>
      <c r="T98" s="268">
        <f>SUM(U98-U98*2/100)</f>
        <v>9.8</v>
      </c>
      <c r="U98" s="268">
        <v>10</v>
      </c>
      <c r="V98" s="268">
        <v>10.2</v>
      </c>
    </row>
    <row r="99" spans="1:22" ht="15">
      <c r="A99" s="321"/>
      <c r="B99" s="267" t="s">
        <v>163</v>
      </c>
      <c r="C99" s="251" t="s">
        <v>52</v>
      </c>
      <c r="D99" s="254"/>
      <c r="E99" s="268">
        <v>17019.2</v>
      </c>
      <c r="F99" s="268">
        <v>15934.4</v>
      </c>
      <c r="G99" s="268">
        <v>14299.7</v>
      </c>
      <c r="H99" s="268">
        <f t="shared" si="6"/>
        <v>12446</v>
      </c>
      <c r="I99" s="268">
        <v>12700</v>
      </c>
      <c r="J99" s="268">
        <f t="shared" si="8"/>
        <v>12954</v>
      </c>
      <c r="K99" s="268">
        <f t="shared" si="7"/>
        <v>2744</v>
      </c>
      <c r="L99" s="268">
        <v>2800</v>
      </c>
      <c r="M99" s="268">
        <f t="shared" si="9"/>
        <v>2856</v>
      </c>
      <c r="N99" s="268">
        <v>0</v>
      </c>
      <c r="O99" s="268">
        <v>0</v>
      </c>
      <c r="P99" s="268">
        <f t="shared" si="10"/>
        <v>0</v>
      </c>
      <c r="Q99" s="268">
        <v>0</v>
      </c>
      <c r="R99" s="268">
        <v>0</v>
      </c>
      <c r="S99" s="268">
        <f t="shared" si="11"/>
        <v>0</v>
      </c>
      <c r="T99" s="268">
        <v>0</v>
      </c>
      <c r="U99" s="268">
        <v>0</v>
      </c>
      <c r="V99" s="268">
        <v>0</v>
      </c>
    </row>
    <row r="100" spans="1:22" ht="30">
      <c r="A100" s="321"/>
      <c r="B100" s="267" t="s">
        <v>165</v>
      </c>
      <c r="C100" s="251" t="s">
        <v>52</v>
      </c>
      <c r="D100" s="254"/>
      <c r="E100" s="268">
        <v>795.5</v>
      </c>
      <c r="F100" s="268">
        <v>728.64</v>
      </c>
      <c r="G100" s="268">
        <v>700</v>
      </c>
      <c r="H100" s="268">
        <f t="shared" si="6"/>
        <v>735</v>
      </c>
      <c r="I100" s="268">
        <v>750</v>
      </c>
      <c r="J100" s="268">
        <f t="shared" si="8"/>
        <v>765</v>
      </c>
      <c r="K100" s="268">
        <f t="shared" si="7"/>
        <v>735</v>
      </c>
      <c r="L100" s="268">
        <v>750</v>
      </c>
      <c r="M100" s="268">
        <f t="shared" si="9"/>
        <v>765</v>
      </c>
      <c r="N100" s="268">
        <f>SUM(O100-O100*2/100)</f>
        <v>735</v>
      </c>
      <c r="O100" s="268">
        <v>750</v>
      </c>
      <c r="P100" s="268">
        <f t="shared" si="10"/>
        <v>765</v>
      </c>
      <c r="Q100" s="268">
        <f>SUM(R100-R100*2/100)</f>
        <v>735</v>
      </c>
      <c r="R100" s="268">
        <v>750</v>
      </c>
      <c r="S100" s="268">
        <f t="shared" si="11"/>
        <v>765</v>
      </c>
      <c r="T100" s="268">
        <f>SUM(U100-U100*2/100)</f>
        <v>735</v>
      </c>
      <c r="U100" s="268">
        <v>750</v>
      </c>
      <c r="V100" s="268">
        <v>765</v>
      </c>
    </row>
    <row r="101" spans="1:22" ht="15">
      <c r="A101" s="321"/>
      <c r="B101" s="267" t="s">
        <v>164</v>
      </c>
      <c r="C101" s="251" t="s">
        <v>52</v>
      </c>
      <c r="D101" s="254"/>
      <c r="E101" s="268">
        <v>12608.8</v>
      </c>
      <c r="F101" s="268">
        <v>12468.43</v>
      </c>
      <c r="G101" s="268">
        <v>12121.05</v>
      </c>
      <c r="H101" s="268">
        <f t="shared" si="6"/>
        <v>11674.74</v>
      </c>
      <c r="I101" s="268">
        <v>11913</v>
      </c>
      <c r="J101" s="268">
        <f>SUM(I101+I101*2/100)</f>
        <v>12151.26</v>
      </c>
      <c r="K101" s="268">
        <f t="shared" si="7"/>
        <v>11674.74</v>
      </c>
      <c r="L101" s="268">
        <v>11913</v>
      </c>
      <c r="M101" s="268">
        <f t="shared" si="9"/>
        <v>12151.26</v>
      </c>
      <c r="N101" s="268">
        <f>SUM(O101-O101*2/100)</f>
        <v>11674.74</v>
      </c>
      <c r="O101" s="268">
        <v>11913</v>
      </c>
      <c r="P101" s="268">
        <f t="shared" si="10"/>
        <v>12151.26</v>
      </c>
      <c r="Q101" s="268">
        <f>SUM(R101-R101*2/100)</f>
        <v>11674.74</v>
      </c>
      <c r="R101" s="268">
        <v>11913</v>
      </c>
      <c r="S101" s="268">
        <f t="shared" si="11"/>
        <v>12151.26</v>
      </c>
      <c r="T101" s="268">
        <f>SUM(U101-U101*2/100)</f>
        <v>11674.74</v>
      </c>
      <c r="U101" s="268">
        <v>11913</v>
      </c>
      <c r="V101" s="268">
        <v>12151.26</v>
      </c>
    </row>
    <row r="102" spans="1:22" ht="15">
      <c r="A102" s="322"/>
      <c r="B102" s="267" t="s">
        <v>161</v>
      </c>
      <c r="C102" s="251" t="s">
        <v>52</v>
      </c>
      <c r="D102" s="254"/>
      <c r="E102" s="268">
        <v>0</v>
      </c>
      <c r="F102" s="268">
        <v>0</v>
      </c>
      <c r="G102" s="268">
        <v>0</v>
      </c>
      <c r="H102" s="268">
        <v>0</v>
      </c>
      <c r="I102" s="268">
        <v>0</v>
      </c>
      <c r="J102" s="268">
        <f t="shared" si="8"/>
        <v>0</v>
      </c>
      <c r="K102" s="268">
        <v>0</v>
      </c>
      <c r="L102" s="268">
        <v>0</v>
      </c>
      <c r="M102" s="268">
        <f t="shared" si="9"/>
        <v>0</v>
      </c>
      <c r="N102" s="268">
        <v>0</v>
      </c>
      <c r="O102" s="268">
        <v>0</v>
      </c>
      <c r="P102" s="268">
        <f t="shared" si="10"/>
        <v>0</v>
      </c>
      <c r="Q102" s="268">
        <v>0</v>
      </c>
      <c r="R102" s="268">
        <v>0</v>
      </c>
      <c r="S102" s="268">
        <f t="shared" si="11"/>
        <v>0</v>
      </c>
      <c r="T102" s="268">
        <v>0</v>
      </c>
      <c r="U102" s="268">
        <v>0</v>
      </c>
      <c r="V102" s="268">
        <v>0</v>
      </c>
    </row>
    <row r="103" spans="1:22" ht="15">
      <c r="A103" s="266">
        <v>45</v>
      </c>
      <c r="B103" s="253" t="s">
        <v>118</v>
      </c>
      <c r="C103" s="251" t="s">
        <v>52</v>
      </c>
      <c r="D103" s="254"/>
      <c r="E103" s="268">
        <v>40567.6</v>
      </c>
      <c r="F103" s="268">
        <v>36678.76</v>
      </c>
      <c r="G103" s="268">
        <v>33653</v>
      </c>
      <c r="H103" s="268">
        <f t="shared" si="6"/>
        <v>28972.72</v>
      </c>
      <c r="I103" s="268">
        <v>29564</v>
      </c>
      <c r="J103" s="268">
        <f t="shared" si="8"/>
        <v>30155.28</v>
      </c>
      <c r="K103" s="268">
        <f t="shared" si="7"/>
        <v>28194.6</v>
      </c>
      <c r="L103" s="268">
        <v>28770</v>
      </c>
      <c r="M103" s="268">
        <f t="shared" si="9"/>
        <v>29345.4</v>
      </c>
      <c r="N103" s="268">
        <f>SUM(O103-O103*2/100)</f>
        <v>28192.64</v>
      </c>
      <c r="O103" s="268">
        <v>28768</v>
      </c>
      <c r="P103" s="268">
        <f t="shared" si="10"/>
        <v>29343.36</v>
      </c>
      <c r="Q103" s="268">
        <f>SUM(R103-R103*2/100)</f>
        <v>28192.64</v>
      </c>
      <c r="R103" s="268">
        <v>28768</v>
      </c>
      <c r="S103" s="268">
        <f t="shared" si="11"/>
        <v>29343.36</v>
      </c>
      <c r="T103" s="268">
        <f>SUM(U103-U103*2/100)</f>
        <v>28192.64</v>
      </c>
      <c r="U103" s="268">
        <v>28768</v>
      </c>
      <c r="V103" s="268">
        <v>29343.36</v>
      </c>
    </row>
    <row r="104" spans="1:22" ht="15">
      <c r="A104" s="262">
        <v>46</v>
      </c>
      <c r="B104" s="253" t="s">
        <v>166</v>
      </c>
      <c r="C104" s="251" t="s">
        <v>52</v>
      </c>
      <c r="D104" s="254"/>
      <c r="E104" s="268">
        <v>673763.2</v>
      </c>
      <c r="F104" s="268">
        <v>722262.66</v>
      </c>
      <c r="G104" s="268">
        <v>816109.56</v>
      </c>
      <c r="H104" s="268">
        <f t="shared" si="6"/>
        <v>816535.608</v>
      </c>
      <c r="I104" s="268">
        <v>833199.6</v>
      </c>
      <c r="J104" s="268">
        <f t="shared" si="8"/>
        <v>849863.592</v>
      </c>
      <c r="K104" s="268">
        <f t="shared" si="7"/>
        <v>705816.8740000001</v>
      </c>
      <c r="L104" s="268">
        <v>720221.3</v>
      </c>
      <c r="M104" s="268">
        <f t="shared" si="9"/>
        <v>734625.726</v>
      </c>
      <c r="N104" s="268">
        <f>SUM(O104-O104*2/100)</f>
        <v>631456.532</v>
      </c>
      <c r="O104" s="268">
        <v>644343.4</v>
      </c>
      <c r="P104" s="268">
        <f t="shared" si="10"/>
        <v>657230.268</v>
      </c>
      <c r="Q104" s="268">
        <f>SUM(R104-R104*2/100)</f>
        <v>631456.532</v>
      </c>
      <c r="R104" s="268">
        <v>644343.4</v>
      </c>
      <c r="S104" s="268">
        <f t="shared" si="11"/>
        <v>657230.268</v>
      </c>
      <c r="T104" s="268">
        <f>SUM(U104-U104*2/100)</f>
        <v>631456.532</v>
      </c>
      <c r="U104" s="268">
        <v>644343.4</v>
      </c>
      <c r="V104" s="268">
        <v>657230.268</v>
      </c>
    </row>
    <row r="105" spans="1:22" ht="45">
      <c r="A105" s="320">
        <v>47</v>
      </c>
      <c r="B105" s="253" t="s">
        <v>139</v>
      </c>
      <c r="C105" s="251" t="s">
        <v>52</v>
      </c>
      <c r="D105" s="254"/>
      <c r="E105" s="268">
        <v>1025370.5</v>
      </c>
      <c r="F105" s="268">
        <v>1091181.1</v>
      </c>
      <c r="G105" s="268">
        <v>1222029.66</v>
      </c>
      <c r="H105" s="268">
        <f>H106+H107+H108+H109+H110+H111+H112+H113+H114+H115+H116+H117+H118</f>
        <v>1233226.2082</v>
      </c>
      <c r="I105" s="268">
        <f>I106+I108+I109+I110+I111+I112+I113+I114+I115+I116+I117+I118</f>
        <v>1258394.09</v>
      </c>
      <c r="J105" s="268">
        <f>J106+J108+J109+J110+J111+J112+J113+J114+J115+J116+J117+J118</f>
        <v>1283561.9718</v>
      </c>
      <c r="K105" s="268">
        <f>K106+K108+K109+K110+K111+K112+K113+K114+K115+K116+K117+K118</f>
        <v>1122661.0402</v>
      </c>
      <c r="L105" s="268">
        <f>L106+L108+L109+L110+L111+L112+L113+L114+L115+L116+L117+L118</f>
        <v>1145572.49</v>
      </c>
      <c r="M105" s="268">
        <f>M106+M108+M109+M110+M111+M112+M113+M114+M115+M116+M117+M118</f>
        <v>1168483.9398</v>
      </c>
      <c r="N105" s="268">
        <f>N106+N108+N109+N110+N111+N112+N113+N114+N115+N116+N117+N118</f>
        <v>1061889.5546000001</v>
      </c>
      <c r="O105" s="268">
        <f>O106+O108+O109+O110+O111+O112+O113+O114+O115+O116+O117+O118</f>
        <v>1083560.77</v>
      </c>
      <c r="P105" s="268">
        <f>P106+P108+P109+P110+P111+P112+P113+P114+P115+P116+P117+P118</f>
        <v>1105231.9854000001</v>
      </c>
      <c r="Q105" s="268">
        <f>Q106+Q108+Q109+Q110+Q111+Q112+Q113+Q114+Q115+Q116+Q117+Q118</f>
        <v>1075927.741</v>
      </c>
      <c r="R105" s="268">
        <f>R106+R108+R109+R110+R111+R112+R113+R114+R115+R116+R117+R118</f>
        <v>1097885.45</v>
      </c>
      <c r="S105" s="268">
        <f>S106+S108+S109+S110+S111+S112+S113+S114+S115+S116+S117+S118</f>
        <v>1119843.159</v>
      </c>
      <c r="T105" s="268">
        <f aca="true" t="shared" si="12" ref="T105:T118">SUM(U105-U105*2/100)</f>
        <v>1090455.8686000002</v>
      </c>
      <c r="U105" s="268">
        <f>U106+U108+U109+U110+U111+U112+U113+U114+U115+U116+U117+U118</f>
        <v>1112710.07</v>
      </c>
      <c r="V105" s="268">
        <v>1134964.2714</v>
      </c>
    </row>
    <row r="106" spans="1:22" ht="15">
      <c r="A106" s="321"/>
      <c r="B106" s="267" t="s">
        <v>124</v>
      </c>
      <c r="C106" s="251" t="s">
        <v>52</v>
      </c>
      <c r="D106" s="254"/>
      <c r="E106" s="268">
        <v>86978.5</v>
      </c>
      <c r="F106" s="268">
        <v>85681.7</v>
      </c>
      <c r="G106" s="268">
        <v>90322.61</v>
      </c>
      <c r="H106" s="268">
        <f t="shared" si="6"/>
        <v>91150.17240000001</v>
      </c>
      <c r="I106" s="268">
        <v>93010.38</v>
      </c>
      <c r="J106" s="268">
        <f t="shared" si="8"/>
        <v>94870.5876</v>
      </c>
      <c r="K106" s="268">
        <f t="shared" si="7"/>
        <v>82978.07979999999</v>
      </c>
      <c r="L106" s="268">
        <v>84671.51</v>
      </c>
      <c r="M106" s="268">
        <f t="shared" si="9"/>
        <v>86364.9402</v>
      </c>
      <c r="N106" s="268">
        <f aca="true" t="shared" si="13" ref="N106:N118">SUM(O106-O106*2/100)</f>
        <v>78486.3478</v>
      </c>
      <c r="O106" s="268">
        <f>80088.11</f>
        <v>80088.11</v>
      </c>
      <c r="P106" s="268">
        <f t="shared" si="10"/>
        <v>81689.8722</v>
      </c>
      <c r="Q106" s="268">
        <f aca="true" t="shared" si="14" ref="Q106:Q118">SUM(R106-R106*2/100)</f>
        <v>79523.9326</v>
      </c>
      <c r="R106" s="268">
        <v>81146.87</v>
      </c>
      <c r="S106" s="268">
        <f t="shared" si="11"/>
        <v>82769.80739999999</v>
      </c>
      <c r="T106" s="268">
        <f t="shared" si="12"/>
        <v>80597.73819999999</v>
      </c>
      <c r="U106" s="268">
        <v>82242.59</v>
      </c>
      <c r="V106" s="268">
        <v>83887.4418</v>
      </c>
    </row>
    <row r="107" spans="1:22" ht="15">
      <c r="A107" s="321"/>
      <c r="B107" s="267" t="s">
        <v>125</v>
      </c>
      <c r="C107" s="251" t="s">
        <v>52</v>
      </c>
      <c r="D107" s="254"/>
      <c r="E107" s="268">
        <v>0</v>
      </c>
      <c r="F107" s="268">
        <v>0</v>
      </c>
      <c r="G107" s="268">
        <v>0</v>
      </c>
      <c r="H107" s="268">
        <f t="shared" si="6"/>
        <v>0</v>
      </c>
      <c r="I107" s="268">
        <v>0</v>
      </c>
      <c r="J107" s="268">
        <f t="shared" si="8"/>
        <v>0</v>
      </c>
      <c r="K107" s="268">
        <f t="shared" si="7"/>
        <v>0</v>
      </c>
      <c r="L107" s="268">
        <v>0</v>
      </c>
      <c r="M107" s="268">
        <f t="shared" si="9"/>
        <v>0</v>
      </c>
      <c r="N107" s="268">
        <f t="shared" si="13"/>
        <v>0</v>
      </c>
      <c r="O107" s="268">
        <v>0</v>
      </c>
      <c r="P107" s="268">
        <f t="shared" si="10"/>
        <v>0</v>
      </c>
      <c r="Q107" s="268">
        <f t="shared" si="14"/>
        <v>0</v>
      </c>
      <c r="R107" s="268">
        <v>0</v>
      </c>
      <c r="S107" s="268">
        <f t="shared" si="11"/>
        <v>0</v>
      </c>
      <c r="T107" s="268">
        <f t="shared" si="12"/>
        <v>0</v>
      </c>
      <c r="U107" s="268">
        <v>0</v>
      </c>
      <c r="V107" s="268">
        <v>0</v>
      </c>
    </row>
    <row r="108" spans="1:22" ht="30">
      <c r="A108" s="321"/>
      <c r="B108" s="267" t="s">
        <v>126</v>
      </c>
      <c r="C108" s="251" t="s">
        <v>52</v>
      </c>
      <c r="D108" s="254"/>
      <c r="E108" s="268">
        <v>9298</v>
      </c>
      <c r="F108" s="268">
        <v>9680.3</v>
      </c>
      <c r="G108" s="268">
        <v>10834.66</v>
      </c>
      <c r="H108" s="268">
        <f t="shared" si="6"/>
        <v>10933.9286</v>
      </c>
      <c r="I108" s="268">
        <v>11157.07</v>
      </c>
      <c r="J108" s="268">
        <f t="shared" si="8"/>
        <v>11380.2114</v>
      </c>
      <c r="K108" s="268">
        <f t="shared" si="7"/>
        <v>9953.644400000001</v>
      </c>
      <c r="L108" s="268">
        <v>10156.78</v>
      </c>
      <c r="M108" s="268">
        <f t="shared" si="9"/>
        <v>10359.9156</v>
      </c>
      <c r="N108" s="268">
        <f t="shared" si="13"/>
        <v>9414.8404</v>
      </c>
      <c r="O108" s="268">
        <v>9606.98</v>
      </c>
      <c r="P108" s="268">
        <f t="shared" si="10"/>
        <v>9799.1196</v>
      </c>
      <c r="Q108" s="268">
        <f t="shared" si="14"/>
        <v>9539.3102</v>
      </c>
      <c r="R108" s="268">
        <v>9733.99</v>
      </c>
      <c r="S108" s="268">
        <f t="shared" si="11"/>
        <v>9928.6698</v>
      </c>
      <c r="T108" s="268">
        <f t="shared" si="12"/>
        <v>9668.1116</v>
      </c>
      <c r="U108" s="268">
        <v>9865.42</v>
      </c>
      <c r="V108" s="268">
        <v>10062.7284</v>
      </c>
    </row>
    <row r="109" spans="1:22" ht="15">
      <c r="A109" s="321"/>
      <c r="B109" s="267" t="s">
        <v>127</v>
      </c>
      <c r="C109" s="251" t="s">
        <v>52</v>
      </c>
      <c r="D109" s="254"/>
      <c r="E109" s="268">
        <v>19495.4</v>
      </c>
      <c r="F109" s="268">
        <v>22366.4</v>
      </c>
      <c r="G109" s="268">
        <v>29195.27</v>
      </c>
      <c r="H109" s="268">
        <f t="shared" si="6"/>
        <v>29462.7592</v>
      </c>
      <c r="I109" s="268">
        <v>30064.04</v>
      </c>
      <c r="J109" s="268">
        <f t="shared" si="8"/>
        <v>30665.3208</v>
      </c>
      <c r="K109" s="268">
        <f t="shared" si="7"/>
        <v>26821.277000000002</v>
      </c>
      <c r="L109" s="268">
        <v>27368.65</v>
      </c>
      <c r="M109" s="268">
        <f t="shared" si="9"/>
        <v>27916.023</v>
      </c>
      <c r="N109" s="268">
        <f t="shared" si="13"/>
        <v>25369.3972</v>
      </c>
      <c r="O109" s="268">
        <v>25887.14</v>
      </c>
      <c r="P109" s="268">
        <f t="shared" si="10"/>
        <v>26404.8828</v>
      </c>
      <c r="Q109" s="268">
        <f t="shared" si="14"/>
        <v>25704.7728</v>
      </c>
      <c r="R109" s="268">
        <v>26229.36</v>
      </c>
      <c r="S109" s="268">
        <f t="shared" si="11"/>
        <v>26753.947200000002</v>
      </c>
      <c r="T109" s="268">
        <f t="shared" si="12"/>
        <v>26051.8692</v>
      </c>
      <c r="U109" s="268">
        <v>26583.54</v>
      </c>
      <c r="V109" s="268">
        <v>27115.2108</v>
      </c>
    </row>
    <row r="110" spans="1:22" ht="15">
      <c r="A110" s="321"/>
      <c r="B110" s="267" t="s">
        <v>128</v>
      </c>
      <c r="C110" s="251" t="s">
        <v>52</v>
      </c>
      <c r="D110" s="254"/>
      <c r="E110" s="268">
        <v>77810.3</v>
      </c>
      <c r="F110" s="268">
        <v>76577.6</v>
      </c>
      <c r="G110" s="268">
        <v>121357.51</v>
      </c>
      <c r="H110" s="268">
        <f t="shared" si="6"/>
        <v>122469.424</v>
      </c>
      <c r="I110" s="268">
        <v>124968.8</v>
      </c>
      <c r="J110" s="268">
        <f t="shared" si="8"/>
        <v>127468.176</v>
      </c>
      <c r="K110" s="268">
        <f t="shared" si="7"/>
        <v>111489.3962</v>
      </c>
      <c r="L110" s="268">
        <v>113764.69</v>
      </c>
      <c r="M110" s="268">
        <f t="shared" si="9"/>
        <v>116039.9838</v>
      </c>
      <c r="N110" s="268">
        <f t="shared" si="13"/>
        <v>105454.2916</v>
      </c>
      <c r="O110" s="268">
        <v>107606.42</v>
      </c>
      <c r="P110" s="268">
        <f t="shared" si="10"/>
        <v>109758.5484</v>
      </c>
      <c r="Q110" s="268">
        <f t="shared" si="14"/>
        <v>106848.4004</v>
      </c>
      <c r="R110" s="268">
        <v>109028.98</v>
      </c>
      <c r="S110" s="268">
        <f t="shared" si="11"/>
        <v>111209.5596</v>
      </c>
      <c r="T110" s="268">
        <f t="shared" si="12"/>
        <v>108291.1662</v>
      </c>
      <c r="U110" s="268">
        <v>110501.19</v>
      </c>
      <c r="V110" s="268">
        <v>112711.2138</v>
      </c>
    </row>
    <row r="111" spans="1:22" ht="56.25" customHeight="1">
      <c r="A111" s="321"/>
      <c r="B111" s="267" t="s">
        <v>129</v>
      </c>
      <c r="C111" s="251" t="s">
        <v>52</v>
      </c>
      <c r="D111" s="254"/>
      <c r="E111" s="268">
        <v>899.7</v>
      </c>
      <c r="F111" s="268">
        <v>799.7</v>
      </c>
      <c r="G111" s="268">
        <v>800</v>
      </c>
      <c r="H111" s="268">
        <f t="shared" si="6"/>
        <v>807.3338</v>
      </c>
      <c r="I111" s="268">
        <v>823.81</v>
      </c>
      <c r="J111" s="268">
        <f t="shared" si="8"/>
        <v>840.2861999999999</v>
      </c>
      <c r="K111" s="268">
        <f t="shared" si="7"/>
        <v>734.951</v>
      </c>
      <c r="L111" s="268">
        <v>749.95</v>
      </c>
      <c r="M111" s="268">
        <f t="shared" si="9"/>
        <v>764.9490000000001</v>
      </c>
      <c r="N111" s="268">
        <f t="shared" si="13"/>
        <v>695.163</v>
      </c>
      <c r="O111" s="268">
        <v>709.35</v>
      </c>
      <c r="P111" s="268">
        <f t="shared" si="10"/>
        <v>723.537</v>
      </c>
      <c r="Q111" s="268">
        <f t="shared" si="14"/>
        <v>704.3554</v>
      </c>
      <c r="R111" s="268">
        <v>718.73</v>
      </c>
      <c r="S111" s="268">
        <f t="shared" si="11"/>
        <v>733.1046</v>
      </c>
      <c r="T111" s="268">
        <f t="shared" si="12"/>
        <v>713.8614</v>
      </c>
      <c r="U111" s="268">
        <v>728.43</v>
      </c>
      <c r="V111" s="268">
        <v>742.9985999999999</v>
      </c>
    </row>
    <row r="112" spans="1:22" ht="19.5" customHeight="1">
      <c r="A112" s="321"/>
      <c r="B112" s="267" t="s">
        <v>130</v>
      </c>
      <c r="C112" s="251" t="s">
        <v>52</v>
      </c>
      <c r="D112" s="254"/>
      <c r="E112" s="268">
        <v>550011.4</v>
      </c>
      <c r="F112" s="268">
        <v>555158.9</v>
      </c>
      <c r="G112" s="268">
        <v>589383.29</v>
      </c>
      <c r="H112" s="268">
        <f t="shared" si="6"/>
        <v>594783.3738000001</v>
      </c>
      <c r="I112" s="268">
        <v>606921.81</v>
      </c>
      <c r="J112" s="268">
        <f t="shared" si="8"/>
        <v>619060.2462</v>
      </c>
      <c r="K112" s="268">
        <f t="shared" si="7"/>
        <v>541457.938</v>
      </c>
      <c r="L112" s="268">
        <v>552508.1</v>
      </c>
      <c r="M112" s="268">
        <f t="shared" si="9"/>
        <v>563558.262</v>
      </c>
      <c r="N112" s="268">
        <f t="shared" si="13"/>
        <v>512147.9314</v>
      </c>
      <c r="O112" s="268">
        <v>522599.93</v>
      </c>
      <c r="P112" s="268">
        <f t="shared" si="10"/>
        <v>533051.9286</v>
      </c>
      <c r="Q112" s="268">
        <f t="shared" si="14"/>
        <v>518918.52599999995</v>
      </c>
      <c r="R112" s="268">
        <v>529508.7</v>
      </c>
      <c r="S112" s="268">
        <f t="shared" si="11"/>
        <v>540098.874</v>
      </c>
      <c r="T112" s="268">
        <f t="shared" si="12"/>
        <v>525925.428</v>
      </c>
      <c r="U112" s="268">
        <v>536658.6</v>
      </c>
      <c r="V112" s="268">
        <v>547391.772</v>
      </c>
    </row>
    <row r="113" spans="1:22" ht="15">
      <c r="A113" s="321"/>
      <c r="B113" s="267" t="s">
        <v>131</v>
      </c>
      <c r="C113" s="251" t="s">
        <v>52</v>
      </c>
      <c r="D113" s="254"/>
      <c r="E113" s="268">
        <v>22816.7</v>
      </c>
      <c r="F113" s="268">
        <v>32960.3</v>
      </c>
      <c r="G113" s="268">
        <v>31787.88</v>
      </c>
      <c r="H113" s="268">
        <f t="shared" si="6"/>
        <v>32079.124</v>
      </c>
      <c r="I113" s="268">
        <v>32733.8</v>
      </c>
      <c r="J113" s="268">
        <f t="shared" si="8"/>
        <v>33388.476</v>
      </c>
      <c r="K113" s="268">
        <f t="shared" si="7"/>
        <v>29203.069</v>
      </c>
      <c r="L113" s="268">
        <v>29799.05</v>
      </c>
      <c r="M113" s="268">
        <f t="shared" si="9"/>
        <v>30395.031</v>
      </c>
      <c r="N113" s="268">
        <f t="shared" si="13"/>
        <v>27622.2604</v>
      </c>
      <c r="O113" s="268">
        <v>28185.98</v>
      </c>
      <c r="P113" s="268">
        <f t="shared" si="10"/>
        <v>28749.6996</v>
      </c>
      <c r="Q113" s="268">
        <f t="shared" si="14"/>
        <v>27987.428</v>
      </c>
      <c r="R113" s="268">
        <v>28558.6</v>
      </c>
      <c r="S113" s="268">
        <f t="shared" si="11"/>
        <v>29129.771999999997</v>
      </c>
      <c r="T113" s="268">
        <f t="shared" si="12"/>
        <v>28365.335600000002</v>
      </c>
      <c r="U113" s="268">
        <v>28944.22</v>
      </c>
      <c r="V113" s="268">
        <v>29523.1044</v>
      </c>
    </row>
    <row r="114" spans="1:22" ht="15">
      <c r="A114" s="321"/>
      <c r="B114" s="267" t="s">
        <v>132</v>
      </c>
      <c r="C114" s="251" t="s">
        <v>52</v>
      </c>
      <c r="D114" s="254"/>
      <c r="E114" s="268">
        <v>100</v>
      </c>
      <c r="F114" s="268">
        <v>100</v>
      </c>
      <c r="G114" s="268">
        <v>400</v>
      </c>
      <c r="H114" s="268">
        <f t="shared" si="6"/>
        <v>392</v>
      </c>
      <c r="I114" s="268">
        <v>400</v>
      </c>
      <c r="J114" s="268">
        <f t="shared" si="8"/>
        <v>408</v>
      </c>
      <c r="K114" s="268">
        <f t="shared" si="7"/>
        <v>367.47060000000005</v>
      </c>
      <c r="L114" s="268">
        <v>374.97</v>
      </c>
      <c r="M114" s="268">
        <f t="shared" si="9"/>
        <v>382.4694</v>
      </c>
      <c r="N114" s="268">
        <f t="shared" si="13"/>
        <v>347.5864</v>
      </c>
      <c r="O114" s="268">
        <v>354.68</v>
      </c>
      <c r="P114" s="268">
        <f t="shared" si="10"/>
        <v>361.7736</v>
      </c>
      <c r="Q114" s="268">
        <f t="shared" si="14"/>
        <v>352.1728</v>
      </c>
      <c r="R114" s="268">
        <v>359.36</v>
      </c>
      <c r="S114" s="268">
        <f t="shared" si="11"/>
        <v>366.54720000000003</v>
      </c>
      <c r="T114" s="268">
        <f t="shared" si="12"/>
        <v>356.9356</v>
      </c>
      <c r="U114" s="268">
        <v>364.22</v>
      </c>
      <c r="V114" s="268">
        <v>371.50440000000003</v>
      </c>
    </row>
    <row r="115" spans="1:22" ht="15">
      <c r="A115" s="321"/>
      <c r="B115" s="267" t="s">
        <v>133</v>
      </c>
      <c r="C115" s="251" t="s">
        <v>52</v>
      </c>
      <c r="D115" s="254"/>
      <c r="E115" s="268">
        <v>221149.4</v>
      </c>
      <c r="F115" s="268">
        <v>248990</v>
      </c>
      <c r="G115" s="268">
        <v>265516.54</v>
      </c>
      <c r="H115" s="268">
        <f t="shared" si="6"/>
        <v>267966.7802</v>
      </c>
      <c r="I115" s="268">
        <v>273435.49</v>
      </c>
      <c r="J115" s="268">
        <f t="shared" si="8"/>
        <v>278904.1998</v>
      </c>
      <c r="K115" s="268">
        <f t="shared" si="7"/>
        <v>243926.2238</v>
      </c>
      <c r="L115" s="268">
        <v>248904.31</v>
      </c>
      <c r="M115" s="268">
        <f t="shared" si="9"/>
        <v>253882.3962</v>
      </c>
      <c r="N115" s="268">
        <f t="shared" si="13"/>
        <v>230722.09579999998</v>
      </c>
      <c r="O115" s="268">
        <v>235430.71</v>
      </c>
      <c r="P115" s="268">
        <f t="shared" si="10"/>
        <v>240139.3242</v>
      </c>
      <c r="Q115" s="268">
        <f t="shared" si="14"/>
        <v>233772.24779999998</v>
      </c>
      <c r="R115" s="268">
        <v>238543.11</v>
      </c>
      <c r="S115" s="268">
        <f t="shared" si="11"/>
        <v>243313.9722</v>
      </c>
      <c r="T115" s="268">
        <f t="shared" si="12"/>
        <v>236928.8474</v>
      </c>
      <c r="U115" s="268">
        <v>241764.13</v>
      </c>
      <c r="V115" s="268">
        <v>246599.4126</v>
      </c>
    </row>
    <row r="116" spans="1:22" ht="15">
      <c r="A116" s="321"/>
      <c r="B116" s="267" t="s">
        <v>134</v>
      </c>
      <c r="C116" s="251" t="s">
        <v>52</v>
      </c>
      <c r="D116" s="254"/>
      <c r="E116" s="268">
        <v>36611.1</v>
      </c>
      <c r="F116" s="268">
        <v>58631.4</v>
      </c>
      <c r="G116" s="268">
        <v>82231.88</v>
      </c>
      <c r="H116" s="268">
        <f t="shared" si="6"/>
        <v>82985.3122</v>
      </c>
      <c r="I116" s="268">
        <v>84678.89</v>
      </c>
      <c r="J116" s="268">
        <f t="shared" si="8"/>
        <v>86372.4678</v>
      </c>
      <c r="K116" s="268">
        <f t="shared" si="7"/>
        <v>75545.25020000001</v>
      </c>
      <c r="L116" s="268">
        <v>77086.99</v>
      </c>
      <c r="M116" s="268">
        <f t="shared" si="9"/>
        <v>78628.7298</v>
      </c>
      <c r="N116" s="268">
        <f t="shared" si="13"/>
        <v>71455.8572</v>
      </c>
      <c r="O116" s="268">
        <v>72914.14</v>
      </c>
      <c r="P116" s="268">
        <f t="shared" si="10"/>
        <v>74372.4228</v>
      </c>
      <c r="Q116" s="268">
        <f t="shared" si="14"/>
        <v>72400.5086</v>
      </c>
      <c r="R116" s="268">
        <v>73878.07</v>
      </c>
      <c r="S116" s="268">
        <f t="shared" si="11"/>
        <v>75355.63140000001</v>
      </c>
      <c r="T116" s="268">
        <f t="shared" si="12"/>
        <v>73378.1174</v>
      </c>
      <c r="U116" s="268">
        <v>74875.63</v>
      </c>
      <c r="V116" s="268">
        <v>76373.1426</v>
      </c>
    </row>
    <row r="117" spans="1:22" ht="15">
      <c r="A117" s="321"/>
      <c r="B117" s="267" t="s">
        <v>135</v>
      </c>
      <c r="C117" s="251" t="s">
        <v>52</v>
      </c>
      <c r="D117" s="254"/>
      <c r="E117" s="268">
        <v>200</v>
      </c>
      <c r="F117" s="268">
        <v>235</v>
      </c>
      <c r="G117" s="268">
        <v>200</v>
      </c>
      <c r="H117" s="268">
        <f t="shared" si="6"/>
        <v>196</v>
      </c>
      <c r="I117" s="268">
        <v>200</v>
      </c>
      <c r="J117" s="268">
        <f t="shared" si="8"/>
        <v>204</v>
      </c>
      <c r="K117" s="268">
        <f t="shared" si="7"/>
        <v>183.74020000000002</v>
      </c>
      <c r="L117" s="268">
        <v>187.49</v>
      </c>
      <c r="M117" s="268">
        <f t="shared" si="9"/>
        <v>191.2398</v>
      </c>
      <c r="N117" s="268">
        <f t="shared" si="13"/>
        <v>173.7834</v>
      </c>
      <c r="O117" s="268">
        <v>177.33</v>
      </c>
      <c r="P117" s="268">
        <f t="shared" si="10"/>
        <v>180.87660000000002</v>
      </c>
      <c r="Q117" s="268">
        <f t="shared" si="14"/>
        <v>176.0864</v>
      </c>
      <c r="R117" s="268">
        <v>179.68</v>
      </c>
      <c r="S117" s="268">
        <f t="shared" si="11"/>
        <v>183.27360000000002</v>
      </c>
      <c r="T117" s="268">
        <f t="shared" si="12"/>
        <v>178.458</v>
      </c>
      <c r="U117" s="268">
        <v>182.1</v>
      </c>
      <c r="V117" s="268">
        <v>185.742</v>
      </c>
    </row>
    <row r="118" spans="1:22" ht="30">
      <c r="A118" s="322"/>
      <c r="B118" s="267" t="s">
        <v>136</v>
      </c>
      <c r="C118" s="251" t="s">
        <v>52</v>
      </c>
      <c r="D118" s="254"/>
      <c r="E118" s="268">
        <v>0</v>
      </c>
      <c r="F118" s="268">
        <v>0</v>
      </c>
      <c r="G118" s="268">
        <v>0</v>
      </c>
      <c r="H118" s="268">
        <f t="shared" si="6"/>
        <v>0</v>
      </c>
      <c r="I118" s="268">
        <v>0</v>
      </c>
      <c r="J118" s="268">
        <f t="shared" si="8"/>
        <v>0</v>
      </c>
      <c r="K118" s="268">
        <f t="shared" si="7"/>
        <v>0</v>
      </c>
      <c r="L118" s="268">
        <v>0</v>
      </c>
      <c r="M118" s="268">
        <f t="shared" si="9"/>
        <v>0</v>
      </c>
      <c r="N118" s="268">
        <f t="shared" si="13"/>
        <v>0</v>
      </c>
      <c r="O118" s="268">
        <v>0</v>
      </c>
      <c r="P118" s="268">
        <f t="shared" si="10"/>
        <v>0</v>
      </c>
      <c r="Q118" s="268">
        <f t="shared" si="14"/>
        <v>0</v>
      </c>
      <c r="R118" s="268">
        <v>0</v>
      </c>
      <c r="S118" s="268">
        <f t="shared" si="11"/>
        <v>0</v>
      </c>
      <c r="T118" s="268">
        <f t="shared" si="12"/>
        <v>0</v>
      </c>
      <c r="U118" s="268">
        <v>0</v>
      </c>
      <c r="V118" s="268">
        <v>0</v>
      </c>
    </row>
    <row r="119" spans="1:22" ht="45">
      <c r="A119" s="266">
        <v>48</v>
      </c>
      <c r="B119" s="253" t="s">
        <v>143</v>
      </c>
      <c r="C119" s="251" t="s">
        <v>52</v>
      </c>
      <c r="D119" s="254"/>
      <c r="E119" s="268">
        <v>-8151.56</v>
      </c>
      <c r="F119" s="268">
        <f>F91-F105</f>
        <v>9145.75</v>
      </c>
      <c r="G119" s="268">
        <f>G91-G105</f>
        <v>-24251.569999999832</v>
      </c>
      <c r="H119" s="268">
        <f>H91-H105</f>
        <v>0</v>
      </c>
      <c r="I119" s="268">
        <f>I91-I105</f>
        <v>0</v>
      </c>
      <c r="J119" s="268">
        <f t="shared" si="8"/>
        <v>0</v>
      </c>
      <c r="K119" s="268">
        <f>K91-K105</f>
        <v>0</v>
      </c>
      <c r="L119" s="268">
        <f>L91-L105</f>
        <v>0</v>
      </c>
      <c r="M119" s="268">
        <f t="shared" si="9"/>
        <v>0</v>
      </c>
      <c r="N119" s="268">
        <f>N91-N105</f>
        <v>0</v>
      </c>
      <c r="O119" s="268">
        <f>O91-O105</f>
        <v>0</v>
      </c>
      <c r="P119" s="268">
        <f t="shared" si="10"/>
        <v>0</v>
      </c>
      <c r="Q119" s="268">
        <f>Q91-Q105</f>
        <v>0.0029527400620281696</v>
      </c>
      <c r="R119" s="268">
        <f>R91-R105</f>
        <v>0.003013000125065446</v>
      </c>
      <c r="S119" s="268">
        <f t="shared" si="11"/>
        <v>0.003073260127566755</v>
      </c>
      <c r="T119" s="268">
        <f>T91-T105</f>
        <v>-0.0024861095007508993</v>
      </c>
      <c r="U119" s="268">
        <f>U91-U105</f>
        <v>-0.002536846324801445</v>
      </c>
      <c r="V119" s="268">
        <v>-0.002587583251297474</v>
      </c>
    </row>
    <row r="120" spans="1:22" ht="30">
      <c r="A120" s="266">
        <v>49</v>
      </c>
      <c r="B120" s="253" t="s">
        <v>140</v>
      </c>
      <c r="C120" s="251" t="s">
        <v>52</v>
      </c>
      <c r="D120" s="254"/>
      <c r="E120" s="268">
        <v>0</v>
      </c>
      <c r="F120" s="268">
        <v>0</v>
      </c>
      <c r="G120" s="268">
        <v>0</v>
      </c>
      <c r="H120" s="268">
        <v>0</v>
      </c>
      <c r="I120" s="268">
        <v>0</v>
      </c>
      <c r="J120" s="268">
        <f t="shared" si="8"/>
        <v>0</v>
      </c>
      <c r="K120" s="268">
        <v>0</v>
      </c>
      <c r="L120" s="268">
        <v>0</v>
      </c>
      <c r="M120" s="268">
        <f t="shared" si="9"/>
        <v>0</v>
      </c>
      <c r="N120" s="268">
        <v>0</v>
      </c>
      <c r="O120" s="268">
        <v>0</v>
      </c>
      <c r="P120" s="268">
        <f t="shared" si="10"/>
        <v>0</v>
      </c>
      <c r="Q120" s="268">
        <v>0</v>
      </c>
      <c r="R120" s="268">
        <v>0</v>
      </c>
      <c r="S120" s="268">
        <f t="shared" si="11"/>
        <v>0</v>
      </c>
      <c r="T120" s="268">
        <v>0</v>
      </c>
      <c r="U120" s="268">
        <v>0</v>
      </c>
      <c r="V120" s="268">
        <v>0</v>
      </c>
    </row>
    <row r="121" spans="1:24" ht="15">
      <c r="A121" s="277">
        <v>50</v>
      </c>
      <c r="B121" s="277" t="s">
        <v>407</v>
      </c>
      <c r="C121" s="20" t="s">
        <v>28</v>
      </c>
      <c r="D121" s="21"/>
      <c r="E121" s="268">
        <v>2252.8</v>
      </c>
      <c r="F121" s="268">
        <v>2410.3</v>
      </c>
      <c r="G121" s="268">
        <v>2504.8</v>
      </c>
      <c r="H121" s="268">
        <v>2506</v>
      </c>
      <c r="I121" s="268">
        <v>2526.8</v>
      </c>
      <c r="J121" s="268">
        <v>2598.9</v>
      </c>
      <c r="K121" s="268">
        <v>2601</v>
      </c>
      <c r="L121" s="268">
        <v>2622.5</v>
      </c>
      <c r="M121" s="268">
        <v>2623.7</v>
      </c>
      <c r="N121" s="268">
        <v>2719.2</v>
      </c>
      <c r="O121" s="268">
        <v>2719.2</v>
      </c>
      <c r="P121" s="268">
        <v>2768.5</v>
      </c>
      <c r="Q121" s="268">
        <v>2826.1</v>
      </c>
      <c r="R121" s="268">
        <v>2826.1</v>
      </c>
      <c r="S121" s="268">
        <v>2924</v>
      </c>
      <c r="T121" s="268">
        <v>2945.6</v>
      </c>
      <c r="U121" s="268">
        <v>2945.6</v>
      </c>
      <c r="V121" s="52">
        <v>3088.9</v>
      </c>
      <c r="W121" s="70"/>
      <c r="X121" s="70"/>
    </row>
    <row r="122" spans="1:24" ht="52.5" customHeight="1">
      <c r="A122" s="277"/>
      <c r="B122" s="277"/>
      <c r="C122" s="20" t="s">
        <v>6</v>
      </c>
      <c r="D122" s="21"/>
      <c r="E122" s="268">
        <v>114.7</v>
      </c>
      <c r="F122" s="268">
        <v>104.9</v>
      </c>
      <c r="G122" s="268">
        <v>100.4</v>
      </c>
      <c r="H122" s="268">
        <v>96.9</v>
      </c>
      <c r="I122" s="268">
        <v>97.8</v>
      </c>
      <c r="J122" s="268">
        <v>100</v>
      </c>
      <c r="K122" s="268">
        <v>101.6</v>
      </c>
      <c r="L122" s="268">
        <v>101.6</v>
      </c>
      <c r="M122" s="268">
        <v>96.8</v>
      </c>
      <c r="N122" s="268">
        <v>102.9</v>
      </c>
      <c r="O122" s="268">
        <v>102.1</v>
      </c>
      <c r="P122" s="268">
        <v>101.3</v>
      </c>
      <c r="Q122" s="268">
        <v>101.4</v>
      </c>
      <c r="R122" s="268">
        <v>101.4</v>
      </c>
      <c r="S122" s="268">
        <v>101.4</v>
      </c>
      <c r="T122" s="268">
        <v>102</v>
      </c>
      <c r="U122" s="268">
        <v>102</v>
      </c>
      <c r="V122" s="268">
        <v>101.7</v>
      </c>
      <c r="W122" s="70"/>
      <c r="X122" s="70"/>
    </row>
    <row r="123" spans="1:24" ht="61.5" customHeight="1">
      <c r="A123" s="20">
        <v>51</v>
      </c>
      <c r="B123" s="45" t="s">
        <v>408</v>
      </c>
      <c r="C123" s="20" t="s">
        <v>28</v>
      </c>
      <c r="D123" s="21"/>
      <c r="E123" s="268">
        <v>1680.3</v>
      </c>
      <c r="F123" s="268">
        <v>1734.6</v>
      </c>
      <c r="G123" s="268">
        <v>1510.3</v>
      </c>
      <c r="H123" s="268">
        <v>1626.5</v>
      </c>
      <c r="I123" s="268">
        <v>1632.5</v>
      </c>
      <c r="J123" s="268">
        <v>1641.6</v>
      </c>
      <c r="K123" s="268">
        <v>1748.5</v>
      </c>
      <c r="L123" s="268">
        <v>1775.7</v>
      </c>
      <c r="M123" s="268">
        <v>1789.3</v>
      </c>
      <c r="N123" s="268">
        <v>1870.3</v>
      </c>
      <c r="O123" s="268">
        <v>1917.8</v>
      </c>
      <c r="P123" s="268">
        <v>1950.4</v>
      </c>
      <c r="Q123" s="268">
        <v>2001.2</v>
      </c>
      <c r="R123" s="268">
        <v>2071.2</v>
      </c>
      <c r="S123" s="268">
        <v>2116.1</v>
      </c>
      <c r="T123" s="268">
        <v>2141.3</v>
      </c>
      <c r="U123" s="268">
        <v>2236.9</v>
      </c>
      <c r="V123" s="268">
        <v>2296.1</v>
      </c>
      <c r="W123" s="70"/>
      <c r="X123" s="70"/>
    </row>
    <row r="124" ht="36" customHeight="1">
      <c r="V124" s="70"/>
    </row>
    <row r="126" ht="42.75" customHeight="1"/>
  </sheetData>
  <sheetProtection/>
  <mergeCells count="59">
    <mergeCell ref="A74:B74"/>
    <mergeCell ref="A78:A89"/>
    <mergeCell ref="A57:A58"/>
    <mergeCell ref="B57:B58"/>
    <mergeCell ref="A59:B59"/>
    <mergeCell ref="B67:B68"/>
    <mergeCell ref="A90:B90"/>
    <mergeCell ref="A93:A102"/>
    <mergeCell ref="A105:A118"/>
    <mergeCell ref="B69:B70"/>
    <mergeCell ref="A72:A73"/>
    <mergeCell ref="B72:B73"/>
    <mergeCell ref="A60:A70"/>
    <mergeCell ref="B60:B61"/>
    <mergeCell ref="B63:B64"/>
    <mergeCell ref="B65:B66"/>
    <mergeCell ref="A51:A52"/>
    <mergeCell ref="B51:B52"/>
    <mergeCell ref="A53:B53"/>
    <mergeCell ref="A54:A55"/>
    <mergeCell ref="B54:B55"/>
    <mergeCell ref="A43:A44"/>
    <mergeCell ref="B43:B44"/>
    <mergeCell ref="A45:B45"/>
    <mergeCell ref="A48:A49"/>
    <mergeCell ref="B48:B49"/>
    <mergeCell ref="A39:B39"/>
    <mergeCell ref="A5:A8"/>
    <mergeCell ref="N6:P6"/>
    <mergeCell ref="A10:A11"/>
    <mergeCell ref="B10:B11"/>
    <mergeCell ref="D6:D8"/>
    <mergeCell ref="A21:A22"/>
    <mergeCell ref="E6:E8"/>
    <mergeCell ref="A15:A16"/>
    <mergeCell ref="B15:B16"/>
    <mergeCell ref="A18:A19"/>
    <mergeCell ref="B21:B22"/>
    <mergeCell ref="A24:B24"/>
    <mergeCell ref="A25:A26"/>
    <mergeCell ref="B25:B26"/>
    <mergeCell ref="B18:B19"/>
    <mergeCell ref="K6:M6"/>
    <mergeCell ref="Q6:S6"/>
    <mergeCell ref="B2:U2"/>
    <mergeCell ref="B3:U3"/>
    <mergeCell ref="A12:A13"/>
    <mergeCell ref="B12:B13"/>
    <mergeCell ref="F6:F8"/>
    <mergeCell ref="A9:B9"/>
    <mergeCell ref="T6:V6"/>
    <mergeCell ref="A121:A122"/>
    <mergeCell ref="B121:B122"/>
    <mergeCell ref="B1:P1"/>
    <mergeCell ref="H6:J6"/>
    <mergeCell ref="B5:B8"/>
    <mergeCell ref="C5:C8"/>
    <mergeCell ref="G6:G8"/>
    <mergeCell ref="H5:V5"/>
  </mergeCells>
  <printOptions/>
  <pageMargins left="0.3937007874015748" right="0" top="0.3937007874015748" bottom="0.1968503937007874" header="0" footer="0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2:25" ht="25.5" customHeight="1">
      <c r="B2" s="330" t="s">
        <v>101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2:17" ht="6.75" customHeight="1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2:25" ht="21.75" customHeight="1">
      <c r="B4" s="331" t="s">
        <v>74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</row>
    <row r="6" spans="1:26" ht="19.5" customHeight="1">
      <c r="A6" s="332" t="s">
        <v>91</v>
      </c>
      <c r="B6" s="297" t="s">
        <v>0</v>
      </c>
      <c r="C6" s="297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297" t="s">
        <v>4</v>
      </c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</row>
    <row r="7" spans="1:26" ht="15">
      <c r="A7" s="333"/>
      <c r="B7" s="297"/>
      <c r="C7" s="297"/>
      <c r="D7" s="297">
        <v>2014</v>
      </c>
      <c r="E7" s="297">
        <v>2015</v>
      </c>
      <c r="F7" s="297">
        <v>2016</v>
      </c>
      <c r="G7" s="297">
        <v>2017</v>
      </c>
      <c r="H7" s="297">
        <v>2018</v>
      </c>
      <c r="I7" s="300">
        <v>2019</v>
      </c>
      <c r="J7" s="301"/>
      <c r="K7" s="302"/>
      <c r="L7" s="300">
        <v>2020</v>
      </c>
      <c r="M7" s="301"/>
      <c r="N7" s="302"/>
      <c r="O7" s="303">
        <v>2021</v>
      </c>
      <c r="P7" s="304"/>
      <c r="Q7" s="305"/>
      <c r="R7" s="300">
        <v>2022</v>
      </c>
      <c r="S7" s="301"/>
      <c r="T7" s="302"/>
      <c r="U7" s="300">
        <v>2023</v>
      </c>
      <c r="V7" s="301"/>
      <c r="W7" s="302"/>
      <c r="X7" s="303">
        <v>2024</v>
      </c>
      <c r="Y7" s="304"/>
      <c r="Z7" s="305"/>
    </row>
    <row r="8" spans="1:26" ht="35.25" customHeight="1">
      <c r="A8" s="334"/>
      <c r="B8" s="297"/>
      <c r="C8" s="297"/>
      <c r="D8" s="297"/>
      <c r="E8" s="297"/>
      <c r="F8" s="297"/>
      <c r="G8" s="297"/>
      <c r="H8" s="297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350" t="s">
        <v>5</v>
      </c>
      <c r="B9" s="351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340">
        <v>1</v>
      </c>
      <c r="B10" s="327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340"/>
      <c r="B11" s="327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340">
        <v>3</v>
      </c>
      <c r="B13" s="327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340"/>
      <c r="B14" s="327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340">
        <v>5</v>
      </c>
      <c r="B16" s="327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340"/>
      <c r="B17" s="327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340">
        <v>7</v>
      </c>
      <c r="B19" s="327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340"/>
      <c r="B20" s="327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349">
        <v>9</v>
      </c>
      <c r="B22" s="348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349"/>
      <c r="B23" s="348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349"/>
      <c r="B24" s="348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349"/>
      <c r="B25" s="348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349"/>
      <c r="B26" s="348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349"/>
      <c r="B27" s="348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340">
        <v>10</v>
      </c>
      <c r="B28" s="327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340"/>
      <c r="B29" s="327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341" t="s">
        <v>155</v>
      </c>
      <c r="B31" s="342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340">
        <v>21</v>
      </c>
      <c r="B32" s="327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340"/>
      <c r="B33" s="327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338">
        <v>22</v>
      </c>
      <c r="B34" s="343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339"/>
      <c r="B35" s="344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341" t="s">
        <v>157</v>
      </c>
      <c r="B49" s="342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346">
        <v>73</v>
      </c>
      <c r="B52" s="345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347"/>
      <c r="B53" s="345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328" t="s">
        <v>158</v>
      </c>
      <c r="B54" s="329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340">
        <v>15</v>
      </c>
      <c r="B58" s="327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340"/>
      <c r="B59" s="327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340">
        <v>20</v>
      </c>
      <c r="B64" s="327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340"/>
      <c r="B65" s="327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350" t="s">
        <v>92</v>
      </c>
      <c r="B66" s="351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340">
        <v>36</v>
      </c>
      <c r="B67" s="327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340"/>
      <c r="B68" s="327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338">
        <v>37</v>
      </c>
      <c r="B69" s="343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339"/>
      <c r="B70" s="344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340">
        <v>40</v>
      </c>
      <c r="B73" s="327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340"/>
      <c r="B74" s="327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350" t="s">
        <v>93</v>
      </c>
      <c r="B75" s="351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274">
        <v>41</v>
      </c>
      <c r="B76" s="278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275"/>
      <c r="B77" s="278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275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275"/>
      <c r="B79" s="278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275"/>
      <c r="B80" s="278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275"/>
      <c r="B81" s="278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275"/>
      <c r="B82" s="278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275"/>
      <c r="B83" s="278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275"/>
      <c r="B84" s="278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284"/>
      <c r="B85" s="286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285"/>
      <c r="B86" s="287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340">
        <v>43</v>
      </c>
      <c r="B88" s="327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340"/>
      <c r="B89" s="327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352" t="s">
        <v>94</v>
      </c>
      <c r="B90" s="353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349">
        <v>44</v>
      </c>
      <c r="B91" s="348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349"/>
      <c r="B92" s="348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349">
        <v>45</v>
      </c>
      <c r="B93" s="348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349"/>
      <c r="B94" s="348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349">
        <v>46</v>
      </c>
      <c r="B95" s="348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349"/>
      <c r="B96" s="348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335">
        <v>47</v>
      </c>
      <c r="B97" s="354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336"/>
      <c r="B98" s="354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336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336"/>
      <c r="B100" s="354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336"/>
      <c r="B101" s="354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336"/>
      <c r="B102" s="354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336"/>
      <c r="B103" s="354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336"/>
      <c r="B104" s="354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336"/>
      <c r="B105" s="354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336"/>
      <c r="B106" s="355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337"/>
      <c r="B107" s="356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352" t="s">
        <v>95</v>
      </c>
      <c r="B110" s="353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350" t="s">
        <v>159</v>
      </c>
      <c r="B115" s="351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332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333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333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333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333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333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333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333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333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333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333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333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333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334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328" t="s">
        <v>160</v>
      </c>
      <c r="B133" s="329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341" t="s">
        <v>60</v>
      </c>
      <c r="B1" s="342"/>
      <c r="C1" s="2"/>
    </row>
    <row r="2" spans="1:3" ht="15">
      <c r="A2" s="340">
        <v>21</v>
      </c>
      <c r="B2" s="327" t="s">
        <v>83</v>
      </c>
      <c r="C2" s="2" t="s">
        <v>39</v>
      </c>
    </row>
    <row r="3" spans="1:3" ht="60">
      <c r="A3" s="340"/>
      <c r="B3" s="327"/>
      <c r="C3" s="2" t="s">
        <v>6</v>
      </c>
    </row>
    <row r="4" spans="1:3" ht="15">
      <c r="A4" s="357">
        <v>22</v>
      </c>
      <c r="B4" s="359" t="s">
        <v>87</v>
      </c>
      <c r="C4" s="2" t="s">
        <v>39</v>
      </c>
    </row>
    <row r="5" spans="1:3" ht="60">
      <c r="A5" s="358"/>
      <c r="B5" s="360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341" t="s">
        <v>73</v>
      </c>
      <c r="B8" s="342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62"/>
  <sheetViews>
    <sheetView zoomScalePageLayoutView="0" workbookViewId="0" topLeftCell="A3">
      <pane ySplit="990" topLeftCell="A40" activePane="bottomLeft" state="split"/>
      <selection pane="topLeft" activeCell="B4" sqref="B1:B16384"/>
      <selection pane="bottomLeft" activeCell="D60" sqref="D60"/>
    </sheetView>
  </sheetViews>
  <sheetFormatPr defaultColWidth="9.00390625" defaultRowHeight="12.75"/>
  <cols>
    <col min="1" max="1" width="3.875" style="0" customWidth="1"/>
    <col min="2" max="2" width="13.875" style="194" customWidth="1"/>
    <col min="4" max="4" width="9.625" style="0" customWidth="1"/>
    <col min="5" max="9" width="9.125" style="0" bestFit="1" customWidth="1"/>
    <col min="11" max="12" width="9.125" style="0" bestFit="1" customWidth="1"/>
    <col min="13" max="13" width="7.625" style="0" customWidth="1"/>
    <col min="14" max="15" width="9.125" style="0" bestFit="1" customWidth="1"/>
    <col min="17" max="18" width="9.125" style="0" bestFit="1" customWidth="1"/>
    <col min="19" max="19" width="8.00390625" style="0" customWidth="1"/>
    <col min="20" max="20" width="9.125" style="0" bestFit="1" customWidth="1"/>
    <col min="21" max="21" width="8.25390625" style="0" customWidth="1"/>
    <col min="22" max="22" width="7.75390625" style="0" customWidth="1"/>
  </cols>
  <sheetData>
    <row r="2" spans="1:24" ht="13.5" thickBot="1">
      <c r="A2" s="385" t="s">
        <v>91</v>
      </c>
      <c r="B2" s="388" t="s">
        <v>0</v>
      </c>
      <c r="C2" s="389" t="s">
        <v>1</v>
      </c>
      <c r="D2" s="71" t="s">
        <v>2</v>
      </c>
      <c r="E2" s="71" t="s">
        <v>2</v>
      </c>
      <c r="F2" s="71" t="s">
        <v>2</v>
      </c>
      <c r="G2" s="71" t="s">
        <v>3</v>
      </c>
      <c r="H2" s="390" t="s">
        <v>4</v>
      </c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196"/>
      <c r="X2" s="197"/>
    </row>
    <row r="3" spans="1:24" ht="12.75">
      <c r="A3" s="386"/>
      <c r="B3" s="388"/>
      <c r="C3" s="389"/>
      <c r="D3" s="389">
        <v>2016</v>
      </c>
      <c r="E3" s="389">
        <v>2017</v>
      </c>
      <c r="F3" s="389">
        <v>2018</v>
      </c>
      <c r="G3" s="378">
        <v>2019</v>
      </c>
      <c r="H3" s="375">
        <v>2020</v>
      </c>
      <c r="I3" s="376"/>
      <c r="J3" s="377"/>
      <c r="K3" s="375">
        <v>2021</v>
      </c>
      <c r="L3" s="376"/>
      <c r="M3" s="377"/>
      <c r="N3" s="375">
        <v>2022</v>
      </c>
      <c r="O3" s="376"/>
      <c r="P3" s="377"/>
      <c r="Q3" s="375">
        <v>2023</v>
      </c>
      <c r="R3" s="376"/>
      <c r="S3" s="377"/>
      <c r="T3" s="375">
        <v>2024</v>
      </c>
      <c r="U3" s="376"/>
      <c r="V3" s="377"/>
      <c r="W3" s="381">
        <v>2025</v>
      </c>
      <c r="X3" s="382"/>
    </row>
    <row r="4" spans="1:24" ht="22.5">
      <c r="A4" s="386"/>
      <c r="B4" s="388"/>
      <c r="C4" s="389"/>
      <c r="D4" s="389"/>
      <c r="E4" s="389"/>
      <c r="F4" s="389"/>
      <c r="G4" s="379"/>
      <c r="H4" s="96" t="s">
        <v>178</v>
      </c>
      <c r="I4" s="71" t="s">
        <v>183</v>
      </c>
      <c r="J4" s="97" t="s">
        <v>177</v>
      </c>
      <c r="K4" s="96" t="s">
        <v>178</v>
      </c>
      <c r="L4" s="71" t="s">
        <v>183</v>
      </c>
      <c r="M4" s="97" t="s">
        <v>177</v>
      </c>
      <c r="N4" s="96" t="s">
        <v>178</v>
      </c>
      <c r="O4" s="71" t="s">
        <v>183</v>
      </c>
      <c r="P4" s="97" t="s">
        <v>177</v>
      </c>
      <c r="Q4" s="96" t="s">
        <v>178</v>
      </c>
      <c r="R4" s="71" t="s">
        <v>183</v>
      </c>
      <c r="S4" s="97" t="s">
        <v>177</v>
      </c>
      <c r="T4" s="96" t="s">
        <v>178</v>
      </c>
      <c r="U4" s="71" t="s">
        <v>183</v>
      </c>
      <c r="V4" s="97" t="s">
        <v>177</v>
      </c>
      <c r="W4" s="109"/>
      <c r="X4" s="72"/>
    </row>
    <row r="5" spans="1:24" ht="33.75">
      <c r="A5" s="387"/>
      <c r="B5" s="388"/>
      <c r="C5" s="389"/>
      <c r="D5" s="389"/>
      <c r="E5" s="389"/>
      <c r="F5" s="389"/>
      <c r="G5" s="380"/>
      <c r="H5" s="96" t="s">
        <v>179</v>
      </c>
      <c r="I5" s="71" t="s">
        <v>180</v>
      </c>
      <c r="J5" s="97" t="s">
        <v>181</v>
      </c>
      <c r="K5" s="96" t="s">
        <v>179</v>
      </c>
      <c r="L5" s="71" t="s">
        <v>180</v>
      </c>
      <c r="M5" s="97" t="s">
        <v>181</v>
      </c>
      <c r="N5" s="96" t="s">
        <v>179</v>
      </c>
      <c r="O5" s="71" t="s">
        <v>180</v>
      </c>
      <c r="P5" s="97" t="s">
        <v>181</v>
      </c>
      <c r="Q5" s="96" t="s">
        <v>179</v>
      </c>
      <c r="R5" s="71" t="s">
        <v>180</v>
      </c>
      <c r="S5" s="97" t="s">
        <v>181</v>
      </c>
      <c r="T5" s="96" t="s">
        <v>179</v>
      </c>
      <c r="U5" s="71" t="s">
        <v>180</v>
      </c>
      <c r="V5" s="97" t="s">
        <v>181</v>
      </c>
      <c r="W5" s="109" t="s">
        <v>98</v>
      </c>
      <c r="X5" s="72" t="s">
        <v>99</v>
      </c>
    </row>
    <row r="6" spans="1:22" ht="22.5">
      <c r="A6" s="383">
        <v>1</v>
      </c>
      <c r="B6" s="384" t="s">
        <v>42</v>
      </c>
      <c r="C6" s="74" t="s">
        <v>12</v>
      </c>
      <c r="D6" s="75"/>
      <c r="E6" s="76">
        <v>40.15</v>
      </c>
      <c r="F6" s="76">
        <v>40.7</v>
      </c>
      <c r="G6" s="92">
        <v>41.3</v>
      </c>
      <c r="H6" s="98">
        <v>41.6</v>
      </c>
      <c r="I6" s="76">
        <v>41.6</v>
      </c>
      <c r="J6" s="99"/>
      <c r="K6" s="98">
        <v>41.8</v>
      </c>
      <c r="L6" s="76">
        <v>41.9</v>
      </c>
      <c r="M6" s="99"/>
      <c r="N6" s="98">
        <v>42.1</v>
      </c>
      <c r="O6" s="76">
        <v>42.2</v>
      </c>
      <c r="P6" s="99"/>
      <c r="Q6" s="98">
        <v>42.3</v>
      </c>
      <c r="R6" s="76">
        <v>42.4</v>
      </c>
      <c r="S6" s="99"/>
      <c r="T6" s="98">
        <v>42.6</v>
      </c>
      <c r="U6" s="76">
        <v>42.7</v>
      </c>
      <c r="V6" s="110"/>
    </row>
    <row r="7" spans="1:22" ht="33.75">
      <c r="A7" s="383"/>
      <c r="B7" s="384"/>
      <c r="C7" s="74" t="s">
        <v>6</v>
      </c>
      <c r="D7" s="75"/>
      <c r="E7" s="76">
        <v>99.6</v>
      </c>
      <c r="F7" s="76">
        <v>101.36986301369863</v>
      </c>
      <c r="G7" s="92">
        <v>101.47420147420145</v>
      </c>
      <c r="H7" s="98">
        <v>100.726392251816</v>
      </c>
      <c r="I7" s="76">
        <v>100.726392251816</v>
      </c>
      <c r="J7" s="99"/>
      <c r="K7" s="98">
        <v>100.48076923076923</v>
      </c>
      <c r="L7" s="76">
        <v>100.72115384615384</v>
      </c>
      <c r="M7" s="99"/>
      <c r="N7" s="98">
        <v>100.71770334928232</v>
      </c>
      <c r="O7" s="76">
        <v>100.71599045346062</v>
      </c>
      <c r="P7" s="99"/>
      <c r="Q7" s="98">
        <v>100.47505938242278</v>
      </c>
      <c r="R7" s="76">
        <v>100.4739336492891</v>
      </c>
      <c r="S7" s="99"/>
      <c r="T7" s="98">
        <v>100.70921985815605</v>
      </c>
      <c r="U7" s="76">
        <v>100.70754716981133</v>
      </c>
      <c r="V7" s="110"/>
    </row>
    <row r="8" spans="1:22" ht="48" customHeight="1">
      <c r="A8" s="77">
        <v>16</v>
      </c>
      <c r="B8" s="190" t="s">
        <v>66</v>
      </c>
      <c r="C8" s="77" t="s">
        <v>39</v>
      </c>
      <c r="D8" s="78"/>
      <c r="E8" s="79">
        <v>22947</v>
      </c>
      <c r="F8" s="79">
        <v>23758</v>
      </c>
      <c r="G8" s="79">
        <v>23855</v>
      </c>
      <c r="H8" s="79">
        <v>24383</v>
      </c>
      <c r="I8" s="79">
        <v>24383</v>
      </c>
      <c r="J8" s="79"/>
      <c r="K8" s="79">
        <v>24492</v>
      </c>
      <c r="L8" s="79">
        <v>24492</v>
      </c>
      <c r="M8" s="79"/>
      <c r="N8" s="79">
        <v>24664</v>
      </c>
      <c r="O8" s="79">
        <v>24664</v>
      </c>
      <c r="P8" s="79"/>
      <c r="Q8" s="79">
        <v>24985</v>
      </c>
      <c r="R8" s="79">
        <v>24985</v>
      </c>
      <c r="S8" s="79"/>
      <c r="T8" s="79">
        <v>24398</v>
      </c>
      <c r="U8" s="79">
        <v>24398</v>
      </c>
      <c r="V8" s="118"/>
    </row>
    <row r="9" spans="1:22" ht="13.5" customHeight="1">
      <c r="A9" s="74"/>
      <c r="B9" s="189"/>
      <c r="C9" s="89" t="s">
        <v>188</v>
      </c>
      <c r="D9" s="90"/>
      <c r="E9" s="76" t="e">
        <f>E8/D8*100</f>
        <v>#DIV/0!</v>
      </c>
      <c r="F9" s="76">
        <f>F8/E8*100</f>
        <v>103.5342310541683</v>
      </c>
      <c r="G9" s="92">
        <f>G8/F8*100</f>
        <v>100.4082835255493</v>
      </c>
      <c r="H9" s="98">
        <f>H8/G8*100</f>
        <v>102.21337245860407</v>
      </c>
      <c r="I9" s="76">
        <f>I8/G8*100</f>
        <v>102.21337245860407</v>
      </c>
      <c r="J9" s="99">
        <f aca="true" t="shared" si="0" ref="J9:V9">J8/G8*100</f>
        <v>0</v>
      </c>
      <c r="K9" s="98">
        <f t="shared" si="0"/>
        <v>100.4470327687323</v>
      </c>
      <c r="L9" s="76">
        <f t="shared" si="0"/>
        <v>100.4470327687323</v>
      </c>
      <c r="M9" s="99" t="e">
        <f t="shared" si="0"/>
        <v>#DIV/0!</v>
      </c>
      <c r="N9" s="98">
        <f t="shared" si="0"/>
        <v>100.70227012902173</v>
      </c>
      <c r="O9" s="76">
        <f t="shared" si="0"/>
        <v>100.70227012902173</v>
      </c>
      <c r="P9" s="99" t="e">
        <f t="shared" si="0"/>
        <v>#DIV/0!</v>
      </c>
      <c r="Q9" s="98">
        <f t="shared" si="0"/>
        <v>101.30149205319495</v>
      </c>
      <c r="R9" s="76">
        <f t="shared" si="0"/>
        <v>101.30149205319495</v>
      </c>
      <c r="S9" s="99" t="e">
        <f t="shared" si="0"/>
        <v>#DIV/0!</v>
      </c>
      <c r="T9" s="98">
        <f t="shared" si="0"/>
        <v>97.65059035421253</v>
      </c>
      <c r="U9" s="76">
        <f t="shared" si="0"/>
        <v>97.65059035421253</v>
      </c>
      <c r="V9" s="99" t="e">
        <f t="shared" si="0"/>
        <v>#DIV/0!</v>
      </c>
    </row>
    <row r="10" spans="1:22" ht="23.25" customHeight="1">
      <c r="A10" s="74"/>
      <c r="B10" s="191" t="s">
        <v>189</v>
      </c>
      <c r="C10" s="89" t="s">
        <v>188</v>
      </c>
      <c r="D10" s="90"/>
      <c r="E10" s="76"/>
      <c r="F10" s="76">
        <v>99.87</v>
      </c>
      <c r="G10" s="92">
        <v>100</v>
      </c>
      <c r="H10" s="95">
        <v>100.13</v>
      </c>
      <c r="I10" s="76">
        <v>100.13</v>
      </c>
      <c r="J10" s="92"/>
      <c r="K10" s="95">
        <v>100.13</v>
      </c>
      <c r="L10" s="76">
        <v>100.13</v>
      </c>
      <c r="M10" s="92"/>
      <c r="N10" s="95">
        <v>100</v>
      </c>
      <c r="O10" s="76">
        <v>100</v>
      </c>
      <c r="P10" s="92"/>
      <c r="Q10" s="95">
        <v>100.26</v>
      </c>
      <c r="R10" s="76">
        <v>100.26</v>
      </c>
      <c r="S10" s="92"/>
      <c r="T10" s="95">
        <v>100.26</v>
      </c>
      <c r="U10" s="76">
        <v>100.26</v>
      </c>
      <c r="V10" s="118"/>
    </row>
    <row r="11" spans="1:22" ht="18.75" customHeight="1">
      <c r="A11" s="77">
        <v>13</v>
      </c>
      <c r="B11" s="190" t="s">
        <v>106</v>
      </c>
      <c r="C11" s="77" t="s">
        <v>61</v>
      </c>
      <c r="D11" s="78"/>
      <c r="E11" s="79">
        <v>19471</v>
      </c>
      <c r="F11" s="79">
        <v>19538</v>
      </c>
      <c r="G11" s="79">
        <v>19224</v>
      </c>
      <c r="H11" s="79">
        <v>19244</v>
      </c>
      <c r="I11" s="79">
        <v>19244</v>
      </c>
      <c r="J11" s="79"/>
      <c r="K11" s="79">
        <v>19266</v>
      </c>
      <c r="L11" s="79">
        <v>19266</v>
      </c>
      <c r="M11" s="79"/>
      <c r="N11" s="79">
        <v>19284</v>
      </c>
      <c r="O11" s="79">
        <v>19284</v>
      </c>
      <c r="P11" s="79"/>
      <c r="Q11" s="79">
        <v>19322</v>
      </c>
      <c r="R11" s="79">
        <v>19322</v>
      </c>
      <c r="S11" s="79"/>
      <c r="T11" s="79">
        <v>19343</v>
      </c>
      <c r="U11" s="79">
        <v>19343</v>
      </c>
      <c r="V11" s="118"/>
    </row>
    <row r="12" spans="1:22" ht="12" customHeight="1">
      <c r="A12" s="74"/>
      <c r="B12" s="192"/>
      <c r="C12" s="89" t="s">
        <v>188</v>
      </c>
      <c r="D12" s="90"/>
      <c r="E12" s="76" t="e">
        <f>E11/D11*100</f>
        <v>#DIV/0!</v>
      </c>
      <c r="F12" s="76">
        <f>F11/E11*100</f>
        <v>100.34410148425866</v>
      </c>
      <c r="G12" s="92">
        <f>G11/F11*100</f>
        <v>98.39287542225406</v>
      </c>
      <c r="H12" s="98">
        <f>H11/G11*100</f>
        <v>100.10403662089055</v>
      </c>
      <c r="I12" s="76">
        <f>I11/G11*100</f>
        <v>100.10403662089055</v>
      </c>
      <c r="J12" s="99">
        <f aca="true" t="shared" si="1" ref="J12:V12">J11/G11*100</f>
        <v>0</v>
      </c>
      <c r="K12" s="98">
        <f t="shared" si="1"/>
        <v>100.11432134691331</v>
      </c>
      <c r="L12" s="76">
        <f t="shared" si="1"/>
        <v>100.11432134691331</v>
      </c>
      <c r="M12" s="99" t="e">
        <f t="shared" si="1"/>
        <v>#DIV/0!</v>
      </c>
      <c r="N12" s="98">
        <f t="shared" si="1"/>
        <v>100.09342883836811</v>
      </c>
      <c r="O12" s="76">
        <f t="shared" si="1"/>
        <v>100.09342883836811</v>
      </c>
      <c r="P12" s="99" t="e">
        <f t="shared" si="1"/>
        <v>#DIV/0!</v>
      </c>
      <c r="Q12" s="98">
        <f t="shared" si="1"/>
        <v>100.1970545529973</v>
      </c>
      <c r="R12" s="76">
        <f t="shared" si="1"/>
        <v>100.1970545529973</v>
      </c>
      <c r="S12" s="99" t="e">
        <f t="shared" si="1"/>
        <v>#DIV/0!</v>
      </c>
      <c r="T12" s="98">
        <f t="shared" si="1"/>
        <v>100.1086844012007</v>
      </c>
      <c r="U12" s="76">
        <f t="shared" si="1"/>
        <v>100.1086844012007</v>
      </c>
      <c r="V12" s="99" t="e">
        <f t="shared" si="1"/>
        <v>#DIV/0!</v>
      </c>
    </row>
    <row r="13" spans="1:22" ht="18.75" customHeight="1">
      <c r="A13" s="74"/>
      <c r="B13" s="191" t="s">
        <v>189</v>
      </c>
      <c r="C13" s="89" t="s">
        <v>188</v>
      </c>
      <c r="D13" s="117"/>
      <c r="E13" s="76"/>
      <c r="F13" s="76">
        <v>100.27</v>
      </c>
      <c r="G13" s="92">
        <v>100.14</v>
      </c>
      <c r="H13" s="95">
        <v>100.14</v>
      </c>
      <c r="I13" s="76">
        <v>100.14</v>
      </c>
      <c r="J13" s="92"/>
      <c r="K13" s="95">
        <v>100.14</v>
      </c>
      <c r="L13" s="76">
        <v>100.14</v>
      </c>
      <c r="M13" s="92"/>
      <c r="N13" s="95">
        <v>100.14</v>
      </c>
      <c r="O13" s="76">
        <v>100.14</v>
      </c>
      <c r="P13" s="92"/>
      <c r="Q13" s="95">
        <v>100.27</v>
      </c>
      <c r="R13" s="76">
        <v>100.27</v>
      </c>
      <c r="S13" s="92"/>
      <c r="T13" s="95">
        <v>100.14</v>
      </c>
      <c r="U13" s="76">
        <v>100.27</v>
      </c>
      <c r="V13" s="118"/>
    </row>
    <row r="14" spans="1:22" ht="9" customHeight="1">
      <c r="A14" s="74"/>
      <c r="B14" s="192"/>
      <c r="C14" s="89"/>
      <c r="D14" s="117"/>
      <c r="E14" s="76"/>
      <c r="F14" s="76"/>
      <c r="G14" s="92"/>
      <c r="H14" s="95"/>
      <c r="I14" s="76"/>
      <c r="J14" s="92"/>
      <c r="K14" s="95"/>
      <c r="L14" s="76"/>
      <c r="M14" s="92"/>
      <c r="N14" s="95"/>
      <c r="O14" s="76"/>
      <c r="P14" s="92"/>
      <c r="Q14" s="95"/>
      <c r="R14" s="76"/>
      <c r="S14" s="92"/>
      <c r="T14" s="95"/>
      <c r="U14" s="76"/>
      <c r="V14" s="118"/>
    </row>
    <row r="15" spans="1:22" ht="12.75">
      <c r="A15" s="365">
        <v>10</v>
      </c>
      <c r="B15" s="366" t="s">
        <v>83</v>
      </c>
      <c r="C15" s="77" t="s">
        <v>39</v>
      </c>
      <c r="D15" s="78">
        <v>11800</v>
      </c>
      <c r="E15" s="79">
        <v>11600</v>
      </c>
      <c r="F15" s="79">
        <v>12258</v>
      </c>
      <c r="G15" s="93">
        <v>12276</v>
      </c>
      <c r="H15" s="100">
        <v>12293</v>
      </c>
      <c r="I15" s="79">
        <v>12293</v>
      </c>
      <c r="J15" s="101"/>
      <c r="K15" s="100">
        <v>12310</v>
      </c>
      <c r="L15" s="79">
        <v>12310</v>
      </c>
      <c r="M15" s="101"/>
      <c r="N15" s="100">
        <v>12327</v>
      </c>
      <c r="O15" s="79">
        <v>12327</v>
      </c>
      <c r="P15" s="101"/>
      <c r="Q15" s="100">
        <v>12360</v>
      </c>
      <c r="R15" s="79">
        <v>12360</v>
      </c>
      <c r="S15" s="101"/>
      <c r="T15" s="100">
        <v>12377</v>
      </c>
      <c r="U15" s="79">
        <v>12377</v>
      </c>
      <c r="V15" s="111"/>
    </row>
    <row r="16" spans="1:22" ht="48" customHeight="1">
      <c r="A16" s="365"/>
      <c r="B16" s="366"/>
      <c r="C16" s="77" t="s">
        <v>6</v>
      </c>
      <c r="D16" s="78"/>
      <c r="E16" s="79">
        <v>98.3</v>
      </c>
      <c r="F16" s="79">
        <f>F15/E15*100</f>
        <v>105.67241379310346</v>
      </c>
      <c r="G16" s="93">
        <f>G15/F15*100</f>
        <v>100.14684287812041</v>
      </c>
      <c r="H16" s="100">
        <f>H15/G15*100</f>
        <v>100.13848159009449</v>
      </c>
      <c r="I16" s="79">
        <f>I15/G15*100</f>
        <v>100.13848159009449</v>
      </c>
      <c r="J16" s="101">
        <f aca="true" t="shared" si="2" ref="J16:V16">J15/G15*100</f>
        <v>0</v>
      </c>
      <c r="K16" s="100">
        <f t="shared" si="2"/>
        <v>100.13829008378752</v>
      </c>
      <c r="L16" s="79">
        <f t="shared" si="2"/>
        <v>100.13829008378752</v>
      </c>
      <c r="M16" s="101" t="e">
        <f t="shared" si="2"/>
        <v>#DIV/0!</v>
      </c>
      <c r="N16" s="100">
        <f t="shared" si="2"/>
        <v>100.13809910641756</v>
      </c>
      <c r="O16" s="79">
        <f t="shared" si="2"/>
        <v>100.13809910641756</v>
      </c>
      <c r="P16" s="101" t="e">
        <f t="shared" si="2"/>
        <v>#DIV/0!</v>
      </c>
      <c r="Q16" s="100">
        <f t="shared" si="2"/>
        <v>100.26770503772207</v>
      </c>
      <c r="R16" s="79">
        <f t="shared" si="2"/>
        <v>100.26770503772207</v>
      </c>
      <c r="S16" s="101" t="e">
        <f t="shared" si="2"/>
        <v>#DIV/0!</v>
      </c>
      <c r="T16" s="100">
        <f t="shared" si="2"/>
        <v>100.13754045307444</v>
      </c>
      <c r="U16" s="79">
        <f t="shared" si="2"/>
        <v>100.13754045307444</v>
      </c>
      <c r="V16" s="101" t="e">
        <f t="shared" si="2"/>
        <v>#DIV/0!</v>
      </c>
    </row>
    <row r="17" spans="1:22" ht="32.25" customHeight="1">
      <c r="A17" s="126"/>
      <c r="B17" s="372" t="s">
        <v>190</v>
      </c>
      <c r="C17" s="124" t="s">
        <v>61</v>
      </c>
      <c r="D17" s="123">
        <v>9682</v>
      </c>
      <c r="E17" s="123">
        <f>211+9414-82</f>
        <v>9543</v>
      </c>
      <c r="F17" s="123">
        <f>10022+211-82</f>
        <v>10151</v>
      </c>
      <c r="G17" s="123">
        <f>10040+211-82</f>
        <v>10169</v>
      </c>
      <c r="H17" s="123">
        <f>10054+211+82</f>
        <v>10347</v>
      </c>
      <c r="I17" s="123">
        <f>10054+211+82</f>
        <v>10347</v>
      </c>
      <c r="J17" s="123"/>
      <c r="K17" s="123">
        <f>10068+211-82</f>
        <v>10197</v>
      </c>
      <c r="L17" s="123">
        <f>10068+211-82</f>
        <v>10197</v>
      </c>
      <c r="M17" s="123"/>
      <c r="N17" s="123">
        <f>10082+211-82</f>
        <v>10211</v>
      </c>
      <c r="O17" s="123">
        <f>10082+211-82</f>
        <v>10211</v>
      </c>
      <c r="P17" s="123"/>
      <c r="Q17" s="123">
        <f>10112+211-82</f>
        <v>10241</v>
      </c>
      <c r="R17" s="123">
        <f>10112+211-82</f>
        <v>10241</v>
      </c>
      <c r="S17" s="123"/>
      <c r="T17" s="123">
        <f>10124+211-82</f>
        <v>10253</v>
      </c>
      <c r="U17" s="123">
        <f>10124+211-82</f>
        <v>10253</v>
      </c>
      <c r="V17" s="123"/>
    </row>
    <row r="18" spans="1:22" ht="21" customHeight="1">
      <c r="A18" s="127"/>
      <c r="B18" s="372"/>
      <c r="C18" s="124" t="s">
        <v>188</v>
      </c>
      <c r="D18" s="74">
        <v>101.5</v>
      </c>
      <c r="E18" s="76">
        <v>99.1</v>
      </c>
      <c r="F18" s="76">
        <f>F17/E17*100</f>
        <v>106.37116210835167</v>
      </c>
      <c r="G18" s="92">
        <f>G17/F17*100</f>
        <v>100.17732243128756</v>
      </c>
      <c r="H18" s="98">
        <f>H17/G17*100</f>
        <v>101.75041793686694</v>
      </c>
      <c r="I18" s="76">
        <f>I17/G17*100</f>
        <v>101.75041793686694</v>
      </c>
      <c r="J18" s="99">
        <f aca="true" t="shared" si="3" ref="J18:V18">J17/G17*100</f>
        <v>0</v>
      </c>
      <c r="K18" s="98">
        <f t="shared" si="3"/>
        <v>98.55030443606843</v>
      </c>
      <c r="L18" s="76">
        <f t="shared" si="3"/>
        <v>98.55030443606843</v>
      </c>
      <c r="M18" s="99" t="e">
        <f t="shared" si="3"/>
        <v>#DIV/0!</v>
      </c>
      <c r="N18" s="98">
        <f t="shared" si="3"/>
        <v>100.13729528292635</v>
      </c>
      <c r="O18" s="76">
        <f t="shared" si="3"/>
        <v>100.13729528292635</v>
      </c>
      <c r="P18" s="99" t="e">
        <f t="shared" si="3"/>
        <v>#DIV/0!</v>
      </c>
      <c r="Q18" s="98">
        <f t="shared" si="3"/>
        <v>100.29380080305552</v>
      </c>
      <c r="R18" s="76">
        <f t="shared" si="3"/>
        <v>100.29380080305552</v>
      </c>
      <c r="S18" s="99" t="e">
        <f t="shared" si="3"/>
        <v>#DIV/0!</v>
      </c>
      <c r="T18" s="98">
        <f t="shared" si="3"/>
        <v>100.11717605702569</v>
      </c>
      <c r="U18" s="76">
        <f t="shared" si="3"/>
        <v>100.11717605702569</v>
      </c>
      <c r="V18" s="99" t="e">
        <f t="shared" si="3"/>
        <v>#DIV/0!</v>
      </c>
    </row>
    <row r="19" spans="1:22" ht="31.5" customHeight="1">
      <c r="A19" s="125"/>
      <c r="B19" s="373" t="s">
        <v>191</v>
      </c>
      <c r="C19" s="124" t="s">
        <v>61</v>
      </c>
      <c r="D19" s="73">
        <f>1221+811+456+1123+1011+3</f>
        <v>4625</v>
      </c>
      <c r="E19" s="119">
        <f>1080+895+82+900+866</f>
        <v>3823</v>
      </c>
      <c r="F19" s="119">
        <f>1067+958+82+892+788</f>
        <v>3787</v>
      </c>
      <c r="G19" s="120">
        <f>1067+958+82+844+839</f>
        <v>3790</v>
      </c>
      <c r="H19" s="121">
        <f>1067+961+82+845+841</f>
        <v>3796</v>
      </c>
      <c r="I19" s="121">
        <f>1067+961+82+845+841</f>
        <v>3796</v>
      </c>
      <c r="J19" s="122"/>
      <c r="K19" s="121">
        <f>1067+82+964+848+843</f>
        <v>3804</v>
      </c>
      <c r="L19" s="119">
        <f>1067+964+82+848+843</f>
        <v>3804</v>
      </c>
      <c r="M19" s="122"/>
      <c r="N19" s="121">
        <f>1067+82+967+847+845</f>
        <v>3808</v>
      </c>
      <c r="O19" s="119">
        <f>1067+82+967+847+845</f>
        <v>3808</v>
      </c>
      <c r="P19" s="122"/>
      <c r="Q19" s="121">
        <f>1067+970+82+849+848</f>
        <v>3816</v>
      </c>
      <c r="R19" s="119">
        <f>1067+970+82+849+848</f>
        <v>3816</v>
      </c>
      <c r="S19" s="122"/>
      <c r="T19" s="121">
        <f>1067+975+82+851+850</f>
        <v>3825</v>
      </c>
      <c r="U19" s="119">
        <f>1067+975+82+851+850</f>
        <v>3825</v>
      </c>
      <c r="V19" s="118"/>
    </row>
    <row r="20" spans="1:22" ht="42" customHeight="1">
      <c r="A20" s="125"/>
      <c r="B20" s="374"/>
      <c r="C20" s="124" t="s">
        <v>188</v>
      </c>
      <c r="D20" s="128">
        <f>D19/5513*100</f>
        <v>83.89261744966443</v>
      </c>
      <c r="E20" s="76">
        <f>E19/D19*100</f>
        <v>82.65945945945946</v>
      </c>
      <c r="F20" s="76">
        <f>F19/E19*100</f>
        <v>99.05833115354433</v>
      </c>
      <c r="G20" s="92">
        <f>G19/F19*100</f>
        <v>100.07921837866385</v>
      </c>
      <c r="H20" s="98">
        <f>H19/G19*100</f>
        <v>100.15831134564644</v>
      </c>
      <c r="I20" s="76">
        <f>I19/G19*100</f>
        <v>100.15831134564644</v>
      </c>
      <c r="J20" s="99">
        <f aca="true" t="shared" si="4" ref="J20:V20">J19/G19*100</f>
        <v>0</v>
      </c>
      <c r="K20" s="98">
        <f t="shared" si="4"/>
        <v>100.21074815595364</v>
      </c>
      <c r="L20" s="76">
        <f t="shared" si="4"/>
        <v>100.21074815595364</v>
      </c>
      <c r="M20" s="99" t="e">
        <f t="shared" si="4"/>
        <v>#DIV/0!</v>
      </c>
      <c r="N20" s="98">
        <f t="shared" si="4"/>
        <v>100.10515247108307</v>
      </c>
      <c r="O20" s="76">
        <f t="shared" si="4"/>
        <v>100.10515247108307</v>
      </c>
      <c r="P20" s="99" t="e">
        <f t="shared" si="4"/>
        <v>#DIV/0!</v>
      </c>
      <c r="Q20" s="98">
        <f t="shared" si="4"/>
        <v>100.21008403361344</v>
      </c>
      <c r="R20" s="76">
        <f t="shared" si="4"/>
        <v>100.21008403361344</v>
      </c>
      <c r="S20" s="99" t="e">
        <f t="shared" si="4"/>
        <v>#DIV/0!</v>
      </c>
      <c r="T20" s="98">
        <f t="shared" si="4"/>
        <v>100.23584905660377</v>
      </c>
      <c r="U20" s="76">
        <f t="shared" si="4"/>
        <v>100.23584905660377</v>
      </c>
      <c r="V20" s="99" t="e">
        <f t="shared" si="4"/>
        <v>#DIV/0!</v>
      </c>
    </row>
    <row r="21" spans="1:22" ht="12.75">
      <c r="A21" s="365">
        <v>29</v>
      </c>
      <c r="B21" s="366" t="s">
        <v>84</v>
      </c>
      <c r="C21" s="77" t="s">
        <v>52</v>
      </c>
      <c r="D21" s="78">
        <v>3293100</v>
      </c>
      <c r="E21" s="79">
        <v>3386100</v>
      </c>
      <c r="F21" s="79">
        <v>3987000</v>
      </c>
      <c r="G21" s="93">
        <v>4421800</v>
      </c>
      <c r="H21" s="100">
        <v>4647300</v>
      </c>
      <c r="I21" s="79">
        <v>4691500</v>
      </c>
      <c r="J21" s="101">
        <v>4735700</v>
      </c>
      <c r="K21" s="100">
        <v>4940100</v>
      </c>
      <c r="L21" s="79">
        <v>5029300</v>
      </c>
      <c r="M21" s="101">
        <v>5147700</v>
      </c>
      <c r="N21" s="100">
        <v>5251300</v>
      </c>
      <c r="O21" s="79">
        <v>5391400</v>
      </c>
      <c r="P21" s="101">
        <v>5580100</v>
      </c>
      <c r="Q21" s="100">
        <v>5582100</v>
      </c>
      <c r="R21" s="79">
        <v>5779600</v>
      </c>
      <c r="S21" s="101">
        <v>6048800</v>
      </c>
      <c r="T21" s="100">
        <v>5933800</v>
      </c>
      <c r="U21" s="79">
        <v>6195700</v>
      </c>
      <c r="V21" s="111">
        <v>6556900</v>
      </c>
    </row>
    <row r="22" spans="1:22" ht="33.75">
      <c r="A22" s="365"/>
      <c r="B22" s="366"/>
      <c r="C22" s="77" t="s">
        <v>6</v>
      </c>
      <c r="D22" s="78"/>
      <c r="E22" s="79">
        <f>E21/D21*100</f>
        <v>102.82408672679237</v>
      </c>
      <c r="F22" s="79">
        <f>F21/E21*100</f>
        <v>117.74607956055638</v>
      </c>
      <c r="G22" s="93">
        <f>G21/F21*100</f>
        <v>110.9054426887384</v>
      </c>
      <c r="H22" s="100">
        <f>H21/G21*100</f>
        <v>105.09973314035008</v>
      </c>
      <c r="I22" s="79">
        <f>I21/G21*100</f>
        <v>106.09932606630782</v>
      </c>
      <c r="J22" s="101">
        <f>J21/G21*100</f>
        <v>107.0989189922656</v>
      </c>
      <c r="K22" s="100">
        <f>K21/H21*100</f>
        <v>106.3004325091989</v>
      </c>
      <c r="L22" s="79">
        <f aca="true" t="shared" si="5" ref="L22:V22">L21/I21*100</f>
        <v>107.2002557817329</v>
      </c>
      <c r="M22" s="101">
        <f t="shared" si="5"/>
        <v>108.69987541440547</v>
      </c>
      <c r="N22" s="100">
        <f t="shared" si="5"/>
        <v>106.29946762211291</v>
      </c>
      <c r="O22" s="79">
        <f t="shared" si="5"/>
        <v>107.19980911856521</v>
      </c>
      <c r="P22" s="101">
        <f t="shared" si="5"/>
        <v>108.39986790216992</v>
      </c>
      <c r="Q22" s="100">
        <f t="shared" si="5"/>
        <v>106.2993925313732</v>
      </c>
      <c r="R22" s="79">
        <f t="shared" si="5"/>
        <v>107.20035612271394</v>
      </c>
      <c r="S22" s="101">
        <f t="shared" si="5"/>
        <v>108.39949104854752</v>
      </c>
      <c r="T22" s="100">
        <f t="shared" si="5"/>
        <v>106.30049622901777</v>
      </c>
      <c r="U22" s="79">
        <f t="shared" si="5"/>
        <v>107.19946017025399</v>
      </c>
      <c r="V22" s="101">
        <f t="shared" si="5"/>
        <v>108.40001322576379</v>
      </c>
    </row>
    <row r="23" spans="1:22" ht="67.5">
      <c r="A23" s="89"/>
      <c r="B23" s="193" t="s">
        <v>186</v>
      </c>
      <c r="C23" s="89" t="s">
        <v>187</v>
      </c>
      <c r="D23" s="91">
        <f aca="true" t="shared" si="6" ref="D23:V23">D21*1000/D15/12</f>
        <v>23256.355932203387</v>
      </c>
      <c r="E23" s="91">
        <f t="shared" si="6"/>
        <v>24325.431034482757</v>
      </c>
      <c r="F23" s="91">
        <f t="shared" si="6"/>
        <v>27104.747919725894</v>
      </c>
      <c r="G23" s="91">
        <f t="shared" si="6"/>
        <v>30016.563484305418</v>
      </c>
      <c r="H23" s="102">
        <f t="shared" si="6"/>
        <v>31503.701293419017</v>
      </c>
      <c r="I23" s="91">
        <f t="shared" si="6"/>
        <v>31803.329808291983</v>
      </c>
      <c r="J23" s="103" t="e">
        <f t="shared" si="6"/>
        <v>#DIV/0!</v>
      </c>
      <c r="K23" s="102">
        <f t="shared" si="6"/>
        <v>33442.323314378555</v>
      </c>
      <c r="L23" s="91">
        <f t="shared" si="6"/>
        <v>34046.16842675332</v>
      </c>
      <c r="M23" s="103" t="e">
        <f t="shared" si="6"/>
        <v>#DIV/0!</v>
      </c>
      <c r="N23" s="102">
        <f t="shared" si="6"/>
        <v>35499.98647954355</v>
      </c>
      <c r="O23" s="91">
        <f t="shared" si="6"/>
        <v>36447.094453908765</v>
      </c>
      <c r="P23" s="103" t="e">
        <f t="shared" si="6"/>
        <v>#DIV/0!</v>
      </c>
      <c r="Q23" s="102">
        <f t="shared" si="6"/>
        <v>37635.517799352754</v>
      </c>
      <c r="R23" s="91">
        <f t="shared" si="6"/>
        <v>38967.09816612729</v>
      </c>
      <c r="S23" s="103" t="e">
        <f t="shared" si="6"/>
        <v>#DIV/0!</v>
      </c>
      <c r="T23" s="102">
        <f t="shared" si="6"/>
        <v>39951.792302927475</v>
      </c>
      <c r="U23" s="91">
        <f t="shared" si="6"/>
        <v>41715.143680482615</v>
      </c>
      <c r="V23" s="103" t="e">
        <f t="shared" si="6"/>
        <v>#DIV/0!</v>
      </c>
    </row>
    <row r="24" spans="1:22" ht="12.75">
      <c r="A24" s="89"/>
      <c r="B24" s="193"/>
      <c r="C24" s="89" t="s">
        <v>188</v>
      </c>
      <c r="D24" s="90"/>
      <c r="E24" s="76">
        <f>E23/D23*100</f>
        <v>104.5969158082888</v>
      </c>
      <c r="F24" s="76">
        <f>F23/E23*100</f>
        <v>111.42556068709857</v>
      </c>
      <c r="G24" s="92">
        <f>G23/F23*100</f>
        <v>110.74282473758188</v>
      </c>
      <c r="H24" s="98">
        <f>H23/G23*100</f>
        <v>104.95439063132983</v>
      </c>
      <c r="I24" s="76">
        <f>I23/G23*100</f>
        <v>105.95260121939276</v>
      </c>
      <c r="J24" s="99" t="e">
        <f aca="true" t="shared" si="7" ref="J24:V24">J23/G23*100</f>
        <v>#DIV/0!</v>
      </c>
      <c r="K24" s="98">
        <f t="shared" si="7"/>
        <v>106.15363256178571</v>
      </c>
      <c r="L24" s="76">
        <f t="shared" si="7"/>
        <v>107.05221318642101</v>
      </c>
      <c r="M24" s="99" t="e">
        <f t="shared" si="7"/>
        <v>#DIV/0!</v>
      </c>
      <c r="N24" s="98">
        <f t="shared" si="7"/>
        <v>106.15287145519672</v>
      </c>
      <c r="O24" s="76">
        <f t="shared" si="7"/>
        <v>107.05197130279367</v>
      </c>
      <c r="P24" s="99" t="e">
        <f t="shared" si="7"/>
        <v>#DIV/0!</v>
      </c>
      <c r="Q24" s="98">
        <f t="shared" si="7"/>
        <v>106.01558347364379</v>
      </c>
      <c r="R24" s="76">
        <f t="shared" si="7"/>
        <v>106.91414157966786</v>
      </c>
      <c r="S24" s="99" t="e">
        <f t="shared" si="7"/>
        <v>#DIV/0!</v>
      </c>
      <c r="T24" s="98">
        <f t="shared" si="7"/>
        <v>106.15449086132823</v>
      </c>
      <c r="U24" s="76">
        <f t="shared" si="7"/>
        <v>107.05222006175484</v>
      </c>
      <c r="V24" s="99" t="e">
        <f t="shared" si="7"/>
        <v>#DIV/0!</v>
      </c>
    </row>
    <row r="25" spans="1:22" ht="22.5">
      <c r="A25" s="80"/>
      <c r="B25" s="191" t="s">
        <v>189</v>
      </c>
      <c r="C25" s="112"/>
      <c r="D25" s="112"/>
      <c r="E25" s="112">
        <v>106.7</v>
      </c>
      <c r="F25" s="112">
        <v>109.9</v>
      </c>
      <c r="G25" s="112">
        <v>106.1</v>
      </c>
      <c r="H25" s="113">
        <v>105.6</v>
      </c>
      <c r="I25" s="114">
        <v>105.8</v>
      </c>
      <c r="J25" s="115"/>
      <c r="K25" s="113">
        <v>106.3</v>
      </c>
      <c r="L25" s="114">
        <v>106.8</v>
      </c>
      <c r="M25" s="115"/>
      <c r="N25" s="113">
        <v>106.5</v>
      </c>
      <c r="O25" s="114">
        <v>106.8</v>
      </c>
      <c r="P25" s="115"/>
      <c r="Q25" s="113">
        <v>106.6</v>
      </c>
      <c r="R25" s="114">
        <v>106.7</v>
      </c>
      <c r="S25" s="115"/>
      <c r="T25" s="113">
        <v>106.6</v>
      </c>
      <c r="U25" s="114">
        <v>106.8</v>
      </c>
      <c r="V25" s="116"/>
    </row>
    <row r="26" spans="1:22" ht="84.75" customHeight="1">
      <c r="A26" s="81">
        <v>22</v>
      </c>
      <c r="B26" s="82" t="s">
        <v>398</v>
      </c>
      <c r="C26" s="81" t="s">
        <v>7</v>
      </c>
      <c r="D26" s="78"/>
      <c r="E26" s="79">
        <v>16.22</v>
      </c>
      <c r="F26" s="79">
        <v>16.06</v>
      </c>
      <c r="G26" s="93">
        <v>16.13</v>
      </c>
      <c r="H26" s="100">
        <v>15.84</v>
      </c>
      <c r="I26" s="79">
        <v>15.84</v>
      </c>
      <c r="J26" s="101"/>
      <c r="K26" s="100">
        <v>15.83</v>
      </c>
      <c r="L26" s="79">
        <v>15.83</v>
      </c>
      <c r="M26" s="101"/>
      <c r="N26" s="100">
        <v>15.71</v>
      </c>
      <c r="O26" s="79">
        <v>15.71</v>
      </c>
      <c r="P26" s="101"/>
      <c r="Q26" s="100">
        <v>15.61</v>
      </c>
      <c r="R26" s="79">
        <v>15.61</v>
      </c>
      <c r="S26" s="101"/>
      <c r="T26" s="100">
        <v>15.51</v>
      </c>
      <c r="U26" s="79">
        <v>15.51</v>
      </c>
      <c r="V26" s="110"/>
    </row>
    <row r="27" spans="1:22" ht="52.5">
      <c r="A27" s="231">
        <v>13</v>
      </c>
      <c r="B27" s="232" t="s">
        <v>106</v>
      </c>
      <c r="C27" s="231" t="s">
        <v>61</v>
      </c>
      <c r="D27" s="233"/>
      <c r="E27" s="234">
        <v>19471</v>
      </c>
      <c r="F27" s="234">
        <v>19538</v>
      </c>
      <c r="G27" s="235">
        <v>19224</v>
      </c>
      <c r="H27" s="236">
        <v>19244</v>
      </c>
      <c r="I27" s="234">
        <v>19244</v>
      </c>
      <c r="J27" s="237"/>
      <c r="K27" s="236">
        <v>19266</v>
      </c>
      <c r="L27" s="234">
        <v>19266</v>
      </c>
      <c r="M27" s="237"/>
      <c r="N27" s="236">
        <v>19284</v>
      </c>
      <c r="O27" s="234">
        <v>19284</v>
      </c>
      <c r="P27" s="237"/>
      <c r="Q27" s="236">
        <v>19322</v>
      </c>
      <c r="R27" s="234">
        <v>19322</v>
      </c>
      <c r="S27" s="237"/>
      <c r="T27" s="236">
        <v>19343</v>
      </c>
      <c r="U27" s="234">
        <v>19343</v>
      </c>
      <c r="V27" s="110"/>
    </row>
    <row r="28" spans="1:22" ht="6" customHeight="1">
      <c r="A28" s="80"/>
      <c r="C28" s="80"/>
      <c r="D28" s="80"/>
      <c r="E28" s="80"/>
      <c r="F28" s="80"/>
      <c r="G28" s="80"/>
      <c r="H28" s="104"/>
      <c r="I28" s="105"/>
      <c r="J28" s="106"/>
      <c r="K28" s="104"/>
      <c r="L28" s="105"/>
      <c r="M28" s="106"/>
      <c r="N28" s="104"/>
      <c r="O28" s="105"/>
      <c r="P28" s="106"/>
      <c r="Q28" s="104"/>
      <c r="R28" s="105"/>
      <c r="S28" s="106"/>
      <c r="T28" s="104"/>
      <c r="U28" s="105"/>
      <c r="V28" s="110"/>
    </row>
    <row r="29" spans="1:22" ht="45">
      <c r="A29" s="77">
        <v>16</v>
      </c>
      <c r="B29" s="190" t="s">
        <v>66</v>
      </c>
      <c r="C29" s="77" t="s">
        <v>39</v>
      </c>
      <c r="D29" s="78"/>
      <c r="E29" s="79">
        <v>22947</v>
      </c>
      <c r="F29" s="79">
        <v>24081</v>
      </c>
      <c r="G29" s="93">
        <v>24146</v>
      </c>
      <c r="H29" s="100">
        <v>24656</v>
      </c>
      <c r="I29" s="79">
        <v>24656</v>
      </c>
      <c r="J29" s="101"/>
      <c r="K29" s="100">
        <v>24735</v>
      </c>
      <c r="L29" s="79">
        <v>24735</v>
      </c>
      <c r="M29" s="101"/>
      <c r="N29" s="100">
        <v>24922</v>
      </c>
      <c r="O29" s="79">
        <v>24922</v>
      </c>
      <c r="P29" s="101"/>
      <c r="Q29" s="100">
        <v>25197</v>
      </c>
      <c r="R29" s="79">
        <v>25197</v>
      </c>
      <c r="S29" s="101"/>
      <c r="T29" s="100">
        <v>25440</v>
      </c>
      <c r="U29" s="79">
        <v>25440</v>
      </c>
      <c r="V29" s="110"/>
    </row>
    <row r="30" spans="1:22" ht="12.75">
      <c r="A30" s="80"/>
      <c r="C30" s="89" t="s">
        <v>188</v>
      </c>
      <c r="D30" s="90"/>
      <c r="E30" s="76" t="e">
        <f>E29/D29*100</f>
        <v>#DIV/0!</v>
      </c>
      <c r="F30" s="76">
        <f>F29/E29*100</f>
        <v>104.94182246045234</v>
      </c>
      <c r="G30" s="92">
        <f>G29/F29*100</f>
        <v>100.26992234541754</v>
      </c>
      <c r="H30" s="98">
        <f>H29/G29*100</f>
        <v>102.11215108092438</v>
      </c>
      <c r="I30" s="76">
        <f>I29/G29*100</f>
        <v>102.11215108092438</v>
      </c>
      <c r="J30" s="99">
        <f aca="true" t="shared" si="8" ref="J30:V30">J29/G29*100</f>
        <v>0</v>
      </c>
      <c r="K30" s="98">
        <f t="shared" si="8"/>
        <v>100.32040882543802</v>
      </c>
      <c r="L30" s="76">
        <f t="shared" si="8"/>
        <v>100.32040882543802</v>
      </c>
      <c r="M30" s="99" t="e">
        <f t="shared" si="8"/>
        <v>#DIV/0!</v>
      </c>
      <c r="N30" s="98">
        <f t="shared" si="8"/>
        <v>100.75601374570446</v>
      </c>
      <c r="O30" s="76">
        <f t="shared" si="8"/>
        <v>100.75601374570446</v>
      </c>
      <c r="P30" s="99" t="e">
        <f t="shared" si="8"/>
        <v>#DIV/0!</v>
      </c>
      <c r="Q30" s="98">
        <f t="shared" si="8"/>
        <v>101.103442741353</v>
      </c>
      <c r="R30" s="76">
        <f t="shared" si="8"/>
        <v>101.103442741353</v>
      </c>
      <c r="S30" s="99" t="e">
        <f t="shared" si="8"/>
        <v>#DIV/0!</v>
      </c>
      <c r="T30" s="98">
        <f t="shared" si="8"/>
        <v>100.9644005238719</v>
      </c>
      <c r="U30" s="76">
        <f t="shared" si="8"/>
        <v>100.9644005238719</v>
      </c>
      <c r="V30" s="99" t="e">
        <f t="shared" si="8"/>
        <v>#DIV/0!</v>
      </c>
    </row>
    <row r="31" spans="1:22" ht="45">
      <c r="A31" s="77">
        <v>17</v>
      </c>
      <c r="B31" s="190" t="s">
        <v>171</v>
      </c>
      <c r="C31" s="77" t="s">
        <v>39</v>
      </c>
      <c r="D31" s="78"/>
      <c r="E31" s="79">
        <v>9934</v>
      </c>
      <c r="F31" s="79">
        <v>8318</v>
      </c>
      <c r="G31" s="93">
        <v>8959</v>
      </c>
      <c r="H31" s="100">
        <v>9086</v>
      </c>
      <c r="I31" s="79">
        <v>9086</v>
      </c>
      <c r="J31" s="101"/>
      <c r="K31" s="100">
        <v>9614</v>
      </c>
      <c r="L31" s="79">
        <v>9614</v>
      </c>
      <c r="M31" s="101"/>
      <c r="N31" s="100">
        <v>9966</v>
      </c>
      <c r="O31" s="79">
        <v>9966</v>
      </c>
      <c r="P31" s="101"/>
      <c r="Q31" s="100">
        <v>10227</v>
      </c>
      <c r="R31" s="79">
        <v>10227</v>
      </c>
      <c r="S31" s="101"/>
      <c r="T31" s="100">
        <v>10662</v>
      </c>
      <c r="U31" s="79">
        <v>10662</v>
      </c>
      <c r="V31" s="110"/>
    </row>
    <row r="32" spans="1:22" ht="9.75" customHeight="1">
      <c r="A32" s="80"/>
      <c r="C32" s="80"/>
      <c r="D32" s="80"/>
      <c r="E32" s="76" t="e">
        <f>E31/D31*100</f>
        <v>#DIV/0!</v>
      </c>
      <c r="F32" s="76">
        <f>F31/E31*100</f>
        <v>83.73263539359775</v>
      </c>
      <c r="G32" s="92">
        <f>G31/F31*100</f>
        <v>107.70617937004087</v>
      </c>
      <c r="H32" s="98">
        <f>H31/G31*100</f>
        <v>101.41756892510325</v>
      </c>
      <c r="I32" s="76">
        <f>I31/G31*100</f>
        <v>101.41756892510325</v>
      </c>
      <c r="J32" s="99">
        <f aca="true" t="shared" si="9" ref="J32:V32">J31/G31*100</f>
        <v>0</v>
      </c>
      <c r="K32" s="98">
        <f t="shared" si="9"/>
        <v>105.81113801452784</v>
      </c>
      <c r="L32" s="76">
        <f t="shared" si="9"/>
        <v>105.81113801452784</v>
      </c>
      <c r="M32" s="99" t="e">
        <f t="shared" si="9"/>
        <v>#DIV/0!</v>
      </c>
      <c r="N32" s="98">
        <f t="shared" si="9"/>
        <v>103.66132723112129</v>
      </c>
      <c r="O32" s="76">
        <f t="shared" si="9"/>
        <v>103.66132723112129</v>
      </c>
      <c r="P32" s="99" t="e">
        <f t="shared" si="9"/>
        <v>#DIV/0!</v>
      </c>
      <c r="Q32" s="98">
        <f t="shared" si="9"/>
        <v>102.61890427453342</v>
      </c>
      <c r="R32" s="76">
        <f t="shared" si="9"/>
        <v>102.61890427453342</v>
      </c>
      <c r="S32" s="99" t="e">
        <f t="shared" si="9"/>
        <v>#DIV/0!</v>
      </c>
      <c r="T32" s="98">
        <f t="shared" si="9"/>
        <v>104.25344675858024</v>
      </c>
      <c r="U32" s="76">
        <f t="shared" si="9"/>
        <v>104.25344675858024</v>
      </c>
      <c r="V32" s="99" t="e">
        <f t="shared" si="9"/>
        <v>#DIV/0!</v>
      </c>
    </row>
    <row r="33" spans="1:22" ht="12.75">
      <c r="A33" s="367" t="s">
        <v>157</v>
      </c>
      <c r="B33" s="368"/>
      <c r="C33" s="83"/>
      <c r="D33" s="84"/>
      <c r="E33" s="85"/>
      <c r="F33" s="85"/>
      <c r="G33" s="94"/>
      <c r="H33" s="107"/>
      <c r="I33" s="85"/>
      <c r="J33" s="108"/>
      <c r="K33" s="107"/>
      <c r="L33" s="85"/>
      <c r="M33" s="108"/>
      <c r="N33" s="107"/>
      <c r="O33" s="85"/>
      <c r="P33" s="108"/>
      <c r="Q33" s="107"/>
      <c r="R33" s="85"/>
      <c r="S33" s="108"/>
      <c r="T33" s="107"/>
      <c r="U33" s="85"/>
      <c r="V33" s="110"/>
    </row>
    <row r="34" spans="1:22" ht="67.5">
      <c r="A34" s="86">
        <v>23</v>
      </c>
      <c r="B34" s="170" t="s">
        <v>102</v>
      </c>
      <c r="C34" s="83" t="s">
        <v>103</v>
      </c>
      <c r="D34" s="129">
        <f>34+334+3</f>
        <v>371</v>
      </c>
      <c r="E34" s="161">
        <f>287+35+2</f>
        <v>324</v>
      </c>
      <c r="F34" s="161">
        <f>303+35+2</f>
        <v>340</v>
      </c>
      <c r="G34" s="159">
        <v>329</v>
      </c>
      <c r="H34" s="160">
        <v>329</v>
      </c>
      <c r="I34" s="161">
        <v>329</v>
      </c>
      <c r="J34" s="162"/>
      <c r="K34" s="160">
        <v>329</v>
      </c>
      <c r="L34" s="161">
        <v>329</v>
      </c>
      <c r="M34" s="162"/>
      <c r="N34" s="160">
        <v>329</v>
      </c>
      <c r="O34" s="161">
        <v>329</v>
      </c>
      <c r="P34" s="162"/>
      <c r="Q34" s="160">
        <v>329</v>
      </c>
      <c r="R34" s="161">
        <v>329</v>
      </c>
      <c r="S34" s="162"/>
      <c r="T34" s="160">
        <v>329</v>
      </c>
      <c r="U34" s="161">
        <v>329</v>
      </c>
      <c r="V34" s="163"/>
    </row>
    <row r="35" spans="1:22" ht="12.75">
      <c r="A35" s="86"/>
      <c r="B35" s="170"/>
      <c r="C35" s="89" t="s">
        <v>188</v>
      </c>
      <c r="D35" s="90"/>
      <c r="E35" s="76">
        <f>E34/D34*100</f>
        <v>87.33153638814017</v>
      </c>
      <c r="F35" s="76">
        <f>F34/E34*100</f>
        <v>104.93827160493827</v>
      </c>
      <c r="G35" s="92">
        <f>G34/F34*100</f>
        <v>96.76470588235294</v>
      </c>
      <c r="H35" s="98">
        <f>H34/G34*100</f>
        <v>100</v>
      </c>
      <c r="I35" s="76">
        <f>I34/G34*100</f>
        <v>100</v>
      </c>
      <c r="J35" s="99">
        <f aca="true" t="shared" si="10" ref="J35:V35">J34/G34*100</f>
        <v>0</v>
      </c>
      <c r="K35" s="98">
        <f t="shared" si="10"/>
        <v>100</v>
      </c>
      <c r="L35" s="76">
        <f t="shared" si="10"/>
        <v>100</v>
      </c>
      <c r="M35" s="99" t="e">
        <f t="shared" si="10"/>
        <v>#DIV/0!</v>
      </c>
      <c r="N35" s="98">
        <f t="shared" si="10"/>
        <v>100</v>
      </c>
      <c r="O35" s="76">
        <f t="shared" si="10"/>
        <v>100</v>
      </c>
      <c r="P35" s="99" t="e">
        <f t="shared" si="10"/>
        <v>#DIV/0!</v>
      </c>
      <c r="Q35" s="98">
        <f t="shared" si="10"/>
        <v>100</v>
      </c>
      <c r="R35" s="76">
        <f t="shared" si="10"/>
        <v>100</v>
      </c>
      <c r="S35" s="99" t="e">
        <f t="shared" si="10"/>
        <v>#DIV/0!</v>
      </c>
      <c r="T35" s="98">
        <f t="shared" si="10"/>
        <v>100</v>
      </c>
      <c r="U35" s="76">
        <f t="shared" si="10"/>
        <v>100</v>
      </c>
      <c r="V35" s="99" t="e">
        <f t="shared" si="10"/>
        <v>#DIV/0!</v>
      </c>
    </row>
    <row r="36" spans="1:22" ht="45">
      <c r="A36" s="86">
        <v>24</v>
      </c>
      <c r="B36" s="170" t="s">
        <v>169</v>
      </c>
      <c r="C36" s="83" t="s">
        <v>103</v>
      </c>
      <c r="D36" s="129">
        <v>1014</v>
      </c>
      <c r="E36" s="161">
        <f>E38-E34</f>
        <v>900</v>
      </c>
      <c r="F36" s="161">
        <v>892</v>
      </c>
      <c r="G36" s="159">
        <v>844</v>
      </c>
      <c r="H36" s="160">
        <v>845</v>
      </c>
      <c r="I36" s="161">
        <v>845</v>
      </c>
      <c r="J36" s="162"/>
      <c r="K36" s="160">
        <v>848</v>
      </c>
      <c r="L36" s="161">
        <v>848</v>
      </c>
      <c r="M36" s="162"/>
      <c r="N36" s="160">
        <v>847</v>
      </c>
      <c r="O36" s="161">
        <v>847</v>
      </c>
      <c r="P36" s="162"/>
      <c r="Q36" s="160">
        <v>849</v>
      </c>
      <c r="R36" s="161">
        <v>849</v>
      </c>
      <c r="S36" s="162"/>
      <c r="T36" s="160">
        <v>851</v>
      </c>
      <c r="U36" s="161">
        <v>851</v>
      </c>
      <c r="V36" s="163"/>
    </row>
    <row r="37" spans="1:22" ht="12.75">
      <c r="A37" s="86"/>
      <c r="B37" s="170"/>
      <c r="C37" s="89" t="s">
        <v>188</v>
      </c>
      <c r="D37" s="90"/>
      <c r="E37" s="76">
        <f>E36/D36*100</f>
        <v>88.75739644970415</v>
      </c>
      <c r="F37" s="76">
        <f>F36/E36*100</f>
        <v>99.11111111111111</v>
      </c>
      <c r="G37" s="92">
        <f>G36/F36*100</f>
        <v>94.61883408071749</v>
      </c>
      <c r="H37" s="98">
        <f>H36/G36*100</f>
        <v>100.11848341232228</v>
      </c>
      <c r="I37" s="76">
        <f>I36/G36*100</f>
        <v>100.11848341232228</v>
      </c>
      <c r="J37" s="99">
        <f aca="true" t="shared" si="11" ref="J37:V37">J36/G36*100</f>
        <v>0</v>
      </c>
      <c r="K37" s="98">
        <f t="shared" si="11"/>
        <v>100.35502958579883</v>
      </c>
      <c r="L37" s="76">
        <f t="shared" si="11"/>
        <v>100.35502958579883</v>
      </c>
      <c r="M37" s="99" t="e">
        <f t="shared" si="11"/>
        <v>#DIV/0!</v>
      </c>
      <c r="N37" s="98">
        <f t="shared" si="11"/>
        <v>99.88207547169812</v>
      </c>
      <c r="O37" s="76">
        <f t="shared" si="11"/>
        <v>99.88207547169812</v>
      </c>
      <c r="P37" s="99" t="e">
        <f t="shared" si="11"/>
        <v>#DIV/0!</v>
      </c>
      <c r="Q37" s="98">
        <f t="shared" si="11"/>
        <v>100.23612750885478</v>
      </c>
      <c r="R37" s="76">
        <f t="shared" si="11"/>
        <v>100.23612750885478</v>
      </c>
      <c r="S37" s="99" t="e">
        <f t="shared" si="11"/>
        <v>#DIV/0!</v>
      </c>
      <c r="T37" s="98">
        <f t="shared" si="11"/>
        <v>100.23557126030624</v>
      </c>
      <c r="U37" s="76">
        <f t="shared" si="11"/>
        <v>100.23557126030624</v>
      </c>
      <c r="V37" s="99" t="e">
        <f t="shared" si="11"/>
        <v>#DIV/0!</v>
      </c>
    </row>
    <row r="38" spans="1:22" ht="33.75">
      <c r="A38" s="86"/>
      <c r="B38" s="170" t="s">
        <v>192</v>
      </c>
      <c r="C38" s="83"/>
      <c r="D38" s="129">
        <f>D34+D36</f>
        <v>1385</v>
      </c>
      <c r="E38" s="161">
        <v>1224</v>
      </c>
      <c r="F38" s="161">
        <v>1194</v>
      </c>
      <c r="G38" s="159">
        <v>1163</v>
      </c>
      <c r="H38" s="160">
        <v>1164</v>
      </c>
      <c r="I38" s="161">
        <v>1164</v>
      </c>
      <c r="J38" s="162">
        <f>J34+J36</f>
        <v>0</v>
      </c>
      <c r="K38" s="160">
        <v>1165</v>
      </c>
      <c r="L38" s="161">
        <v>1165</v>
      </c>
      <c r="M38" s="162">
        <f>M34+M36</f>
        <v>0</v>
      </c>
      <c r="N38" s="160">
        <v>1166</v>
      </c>
      <c r="O38" s="161">
        <v>1166</v>
      </c>
      <c r="P38" s="162">
        <f>P34+P36</f>
        <v>0</v>
      </c>
      <c r="Q38" s="160">
        <v>1167</v>
      </c>
      <c r="R38" s="161">
        <v>1167</v>
      </c>
      <c r="S38" s="162">
        <f>S34+S36</f>
        <v>0</v>
      </c>
      <c r="T38" s="160">
        <v>1168</v>
      </c>
      <c r="U38" s="161">
        <v>1169</v>
      </c>
      <c r="V38" s="162">
        <f>V34+V36</f>
        <v>0</v>
      </c>
    </row>
    <row r="39" spans="1:22" ht="12.75">
      <c r="A39" s="86"/>
      <c r="B39" s="170"/>
      <c r="C39" s="89" t="s">
        <v>188</v>
      </c>
      <c r="D39" s="90"/>
      <c r="E39" s="76">
        <f>E38/D38*100</f>
        <v>88.37545126353791</v>
      </c>
      <c r="F39" s="76">
        <f>F38/E38*100</f>
        <v>97.54901960784314</v>
      </c>
      <c r="G39" s="92">
        <f>G38/F38*100</f>
        <v>97.4036850921273</v>
      </c>
      <c r="H39" s="98">
        <f>H38/G38*100</f>
        <v>100.08598452278589</v>
      </c>
      <c r="I39" s="76">
        <f>I38/G38*100</f>
        <v>100.08598452278589</v>
      </c>
      <c r="J39" s="99">
        <f aca="true" t="shared" si="12" ref="J39:V39">J38/G38*100</f>
        <v>0</v>
      </c>
      <c r="K39" s="98">
        <f t="shared" si="12"/>
        <v>100.08591065292096</v>
      </c>
      <c r="L39" s="76">
        <f t="shared" si="12"/>
        <v>100.08591065292096</v>
      </c>
      <c r="M39" s="99" t="e">
        <f t="shared" si="12"/>
        <v>#DIV/0!</v>
      </c>
      <c r="N39" s="98">
        <f t="shared" si="12"/>
        <v>100.08583690987125</v>
      </c>
      <c r="O39" s="76">
        <f t="shared" si="12"/>
        <v>100.08583690987125</v>
      </c>
      <c r="P39" s="99" t="e">
        <f t="shared" si="12"/>
        <v>#DIV/0!</v>
      </c>
      <c r="Q39" s="98">
        <f t="shared" si="12"/>
        <v>100.08576329331046</v>
      </c>
      <c r="R39" s="76">
        <f t="shared" si="12"/>
        <v>100.08576329331046</v>
      </c>
      <c r="S39" s="99" t="e">
        <f t="shared" si="12"/>
        <v>#DIV/0!</v>
      </c>
      <c r="T39" s="98">
        <f t="shared" si="12"/>
        <v>100.08568980291346</v>
      </c>
      <c r="U39" s="76">
        <f t="shared" si="12"/>
        <v>100.17137960582691</v>
      </c>
      <c r="V39" s="99" t="e">
        <f t="shared" si="12"/>
        <v>#DIV/0!</v>
      </c>
    </row>
    <row r="40" spans="1:22" ht="12.75">
      <c r="A40" s="86"/>
      <c r="B40" s="170"/>
      <c r="C40" s="89"/>
      <c r="D40" s="90"/>
      <c r="E40" s="76"/>
      <c r="F40" s="76">
        <f>F41/F38</f>
        <v>1.6959798994974875</v>
      </c>
      <c r="G40" s="76">
        <f>G41/G38</f>
        <v>1.7411865864144453</v>
      </c>
      <c r="H40" s="98">
        <f>H41/H38</f>
        <v>1.7422680412371134</v>
      </c>
      <c r="I40" s="76">
        <f>I41/I38</f>
        <v>1.7422680412371134</v>
      </c>
      <c r="J40" s="99"/>
      <c r="K40" s="98">
        <f>K41/K38</f>
        <v>1.7433476394849785</v>
      </c>
      <c r="L40" s="76">
        <f>L41/L38</f>
        <v>1.7433476394849785</v>
      </c>
      <c r="M40" s="99"/>
      <c r="N40" s="98">
        <f>N41/N38</f>
        <v>1.74442538593482</v>
      </c>
      <c r="O40" s="76">
        <f>O41/O38</f>
        <v>1.7442910806174956</v>
      </c>
      <c r="P40" s="99"/>
      <c r="Q40" s="98">
        <f>Q41/Q38</f>
        <v>1.7455012853470437</v>
      </c>
      <c r="R40" s="76">
        <f>R41/R38</f>
        <v>1.7455012853470437</v>
      </c>
      <c r="S40" s="99"/>
      <c r="T40" s="98">
        <f>T41/T38</f>
        <v>1.7482876712328768</v>
      </c>
      <c r="U40" s="76">
        <f>U41/U38</f>
        <v>1.7519247219846021</v>
      </c>
      <c r="V40" s="99"/>
    </row>
    <row r="41" spans="1:25" ht="101.25">
      <c r="A41" s="87">
        <v>25</v>
      </c>
      <c r="B41" s="170" t="s">
        <v>104</v>
      </c>
      <c r="C41" s="83" t="s">
        <v>39</v>
      </c>
      <c r="D41" s="83"/>
      <c r="E41" s="161">
        <v>1975</v>
      </c>
      <c r="F41" s="161">
        <v>2025</v>
      </c>
      <c r="G41" s="159">
        <v>2025</v>
      </c>
      <c r="H41" s="160">
        <v>2028</v>
      </c>
      <c r="I41" s="161">
        <v>2028</v>
      </c>
      <c r="J41" s="162">
        <f>G41*J43/100</f>
        <v>0</v>
      </c>
      <c r="K41" s="160">
        <v>2031</v>
      </c>
      <c r="L41" s="161">
        <v>2031</v>
      </c>
      <c r="M41" s="162">
        <f>J41*M43/100</f>
        <v>0</v>
      </c>
      <c r="N41" s="160">
        <v>2034</v>
      </c>
      <c r="O41" s="161">
        <f aca="true" t="shared" si="13" ref="O41:V41">L41*O43/100</f>
        <v>2033.8434</v>
      </c>
      <c r="P41" s="162">
        <f t="shared" si="13"/>
        <v>0</v>
      </c>
      <c r="Q41" s="160">
        <v>2037</v>
      </c>
      <c r="R41" s="161">
        <v>2037</v>
      </c>
      <c r="S41" s="162">
        <f t="shared" si="13"/>
        <v>0</v>
      </c>
      <c r="T41" s="160">
        <v>2042</v>
      </c>
      <c r="U41" s="161">
        <v>2048</v>
      </c>
      <c r="V41" s="159">
        <f t="shared" si="13"/>
        <v>0</v>
      </c>
      <c r="W41" s="216"/>
      <c r="X41" s="215"/>
      <c r="Y41" s="215"/>
    </row>
    <row r="42" spans="1:25" ht="12.75">
      <c r="A42" s="130"/>
      <c r="B42" s="170"/>
      <c r="C42" s="89" t="s">
        <v>188</v>
      </c>
      <c r="D42" s="90"/>
      <c r="E42" s="76" t="e">
        <f>E41/D41*100</f>
        <v>#DIV/0!</v>
      </c>
      <c r="F42" s="76">
        <f>F41/E41*100</f>
        <v>102.53164556962024</v>
      </c>
      <c r="G42" s="92">
        <f>G41/F41*100</f>
        <v>100</v>
      </c>
      <c r="H42" s="98">
        <f>H41/G41*100</f>
        <v>100.14814814814814</v>
      </c>
      <c r="I42" s="76">
        <f>I41/G41*100</f>
        <v>100.14814814814814</v>
      </c>
      <c r="J42" s="99">
        <f aca="true" t="shared" si="14" ref="J42:V42">J41/G41*100</f>
        <v>0</v>
      </c>
      <c r="K42" s="98">
        <f t="shared" si="14"/>
        <v>100.14792899408285</v>
      </c>
      <c r="L42" s="76">
        <f t="shared" si="14"/>
        <v>100.14792899408285</v>
      </c>
      <c r="M42" s="99" t="e">
        <f t="shared" si="14"/>
        <v>#DIV/0!</v>
      </c>
      <c r="N42" s="98">
        <f t="shared" si="14"/>
        <v>100.14771048744461</v>
      </c>
      <c r="O42" s="76">
        <f t="shared" si="14"/>
        <v>100.14</v>
      </c>
      <c r="P42" s="99" t="e">
        <f t="shared" si="14"/>
        <v>#DIV/0!</v>
      </c>
      <c r="Q42" s="98">
        <f t="shared" si="14"/>
        <v>100.14749262536873</v>
      </c>
      <c r="R42" s="76">
        <f t="shared" si="14"/>
        <v>100.15520368972362</v>
      </c>
      <c r="S42" s="99" t="e">
        <f t="shared" si="14"/>
        <v>#DIV/0!</v>
      </c>
      <c r="T42" s="98">
        <f t="shared" si="14"/>
        <v>100.2454590083456</v>
      </c>
      <c r="U42" s="76">
        <f t="shared" si="14"/>
        <v>100.54000981836033</v>
      </c>
      <c r="V42" s="92" t="e">
        <f t="shared" si="14"/>
        <v>#DIV/0!</v>
      </c>
      <c r="W42" s="213"/>
      <c r="X42" s="214"/>
      <c r="Y42" s="214"/>
    </row>
    <row r="43" spans="1:25" ht="22.5">
      <c r="A43" s="74"/>
      <c r="B43" s="191" t="s">
        <v>189</v>
      </c>
      <c r="C43" s="89" t="s">
        <v>188</v>
      </c>
      <c r="D43" s="117"/>
      <c r="E43" s="76"/>
      <c r="F43" s="76">
        <v>100.27</v>
      </c>
      <c r="G43" s="92">
        <v>100.14</v>
      </c>
      <c r="H43" s="95">
        <v>100.14</v>
      </c>
      <c r="I43" s="76">
        <v>100.14</v>
      </c>
      <c r="J43" s="92"/>
      <c r="K43" s="95">
        <v>100.14</v>
      </c>
      <c r="L43" s="76">
        <v>100.14</v>
      </c>
      <c r="M43" s="92"/>
      <c r="N43" s="95">
        <v>100.14</v>
      </c>
      <c r="O43" s="76">
        <v>100.14</v>
      </c>
      <c r="P43" s="92"/>
      <c r="Q43" s="95">
        <v>100.27</v>
      </c>
      <c r="R43" s="76">
        <v>100.27</v>
      </c>
      <c r="S43" s="92"/>
      <c r="T43" s="95">
        <v>100.14</v>
      </c>
      <c r="U43" s="76">
        <v>100.27</v>
      </c>
      <c r="V43" s="212"/>
      <c r="W43" s="213"/>
      <c r="X43" s="214"/>
      <c r="Y43" s="214"/>
    </row>
    <row r="44" spans="1:25" ht="6" customHeight="1">
      <c r="A44" s="158"/>
      <c r="B44" s="170"/>
      <c r="C44" s="89"/>
      <c r="D44" s="90"/>
      <c r="E44" s="76"/>
      <c r="F44" s="76"/>
      <c r="G44" s="92"/>
      <c r="H44" s="98"/>
      <c r="I44" s="76"/>
      <c r="J44" s="99"/>
      <c r="K44" s="98"/>
      <c r="L44" s="76"/>
      <c r="M44" s="99"/>
      <c r="N44" s="98"/>
      <c r="O44" s="76"/>
      <c r="P44" s="99"/>
      <c r="Q44" s="98"/>
      <c r="R44" s="76"/>
      <c r="S44" s="99"/>
      <c r="T44" s="98"/>
      <c r="U44" s="76"/>
      <c r="V44" s="91"/>
      <c r="W44" s="213"/>
      <c r="X44" s="214"/>
      <c r="Y44" s="214"/>
    </row>
    <row r="45" spans="1:25" ht="12.75">
      <c r="A45" s="369">
        <v>26</v>
      </c>
      <c r="B45" s="371" t="s">
        <v>141</v>
      </c>
      <c r="C45" s="88" t="s">
        <v>52</v>
      </c>
      <c r="D45" s="164">
        <v>4003407</v>
      </c>
      <c r="E45" s="85">
        <v>3758735</v>
      </c>
      <c r="F45" s="85">
        <v>3660000</v>
      </c>
      <c r="G45" s="94">
        <v>3660000</v>
      </c>
      <c r="H45" s="107">
        <f>G45*H48/100*H49/100</f>
        <v>3581310</v>
      </c>
      <c r="I45" s="85">
        <f>G45*I48/100*I49/100</f>
        <v>3681557.4</v>
      </c>
      <c r="J45" s="108">
        <f>G45*J48/100*J49/100</f>
        <v>0</v>
      </c>
      <c r="K45" s="107">
        <f>H45*H48/100*H49/100</f>
        <v>3504311.835</v>
      </c>
      <c r="L45" s="85">
        <f>I45*L48/100*L49/100</f>
        <v>3828819.6959999995</v>
      </c>
      <c r="M45" s="108">
        <f>J45*M48/100*M49/100</f>
        <v>0</v>
      </c>
      <c r="N45" s="107">
        <f>K45*K48/100*K49/100</f>
        <v>3651492.93207</v>
      </c>
      <c r="O45" s="85">
        <f>L45*O48/100*O49/100</f>
        <v>3985801.3035359993</v>
      </c>
      <c r="P45" s="108">
        <f>M45*P48/100*P49/100</f>
        <v>0</v>
      </c>
      <c r="Q45" s="107">
        <f>N45*N48/100*N49/100</f>
        <v>3801204.14228487</v>
      </c>
      <c r="R45" s="85">
        <f>O45*R48/100*R49/100</f>
        <v>4149219.156980975</v>
      </c>
      <c r="S45" s="108">
        <f>P45*S48/100*S49/100</f>
        <v>0</v>
      </c>
      <c r="T45" s="107">
        <f>Q45*Q48/100*Q49/100</f>
        <v>3957053.5121185496</v>
      </c>
      <c r="U45" s="85">
        <f>R45*U48/100*U49/100</f>
        <v>4323486.361574176</v>
      </c>
      <c r="V45" s="94">
        <f>S45*V48/100*V49/100</f>
        <v>0</v>
      </c>
      <c r="W45" s="212"/>
      <c r="X45" s="91"/>
      <c r="Y45" s="91"/>
    </row>
    <row r="46" spans="1:22" ht="71.25" customHeight="1">
      <c r="A46" s="370"/>
      <c r="B46" s="371"/>
      <c r="C46" s="83" t="s">
        <v>6</v>
      </c>
      <c r="D46" s="84"/>
      <c r="E46" s="85">
        <f>E45/D45*100/E49*100</f>
        <v>88.32399393280555</v>
      </c>
      <c r="F46" s="85">
        <f>F45/E45*100/F49*100</f>
        <v>90.66404599021425</v>
      </c>
      <c r="G46" s="85">
        <f>G45/F45*100/G49*100</f>
        <v>95.41984732824427</v>
      </c>
      <c r="H46" s="98">
        <f>H45/G45*100</f>
        <v>97.85000000000001</v>
      </c>
      <c r="I46" s="76">
        <f>I45/G45*100</f>
        <v>100.589</v>
      </c>
      <c r="J46" s="99">
        <f aca="true" t="shared" si="15" ref="J46:V46">J45/G45*100</f>
        <v>0</v>
      </c>
      <c r="K46" s="98">
        <f t="shared" si="15"/>
        <v>97.85000000000001</v>
      </c>
      <c r="L46" s="76">
        <f t="shared" si="15"/>
        <v>103.99999999999999</v>
      </c>
      <c r="M46" s="99" t="e">
        <f t="shared" si="15"/>
        <v>#DIV/0!</v>
      </c>
      <c r="N46" s="98">
        <f t="shared" si="15"/>
        <v>104.2</v>
      </c>
      <c r="O46" s="76">
        <f t="shared" si="15"/>
        <v>104.1</v>
      </c>
      <c r="P46" s="99" t="e">
        <f t="shared" si="15"/>
        <v>#DIV/0!</v>
      </c>
      <c r="Q46" s="98">
        <f t="shared" si="15"/>
        <v>104.1</v>
      </c>
      <c r="R46" s="76">
        <f t="shared" si="15"/>
        <v>104.1</v>
      </c>
      <c r="S46" s="99" t="e">
        <f t="shared" si="15"/>
        <v>#DIV/0!</v>
      </c>
      <c r="T46" s="98">
        <f t="shared" si="15"/>
        <v>104.1</v>
      </c>
      <c r="U46" s="76">
        <f t="shared" si="15"/>
        <v>104.2</v>
      </c>
      <c r="V46" s="99" t="e">
        <f t="shared" si="15"/>
        <v>#DIV/0!</v>
      </c>
    </row>
    <row r="47" spans="1:22" ht="15.75" customHeight="1">
      <c r="A47" s="166"/>
      <c r="B47" s="167"/>
      <c r="C47" s="165" t="s">
        <v>347</v>
      </c>
      <c r="D47" s="168"/>
      <c r="E47" s="169"/>
      <c r="F47" s="169"/>
      <c r="G47" s="169"/>
      <c r="H47" s="165">
        <v>101.9</v>
      </c>
      <c r="I47" s="165">
        <v>102.2</v>
      </c>
      <c r="J47" s="165"/>
      <c r="K47" s="165">
        <v>102.2</v>
      </c>
      <c r="L47" s="165">
        <v>102.6</v>
      </c>
      <c r="M47" s="165"/>
      <c r="N47" s="165">
        <v>102.3</v>
      </c>
      <c r="O47" s="165">
        <v>102.7</v>
      </c>
      <c r="P47" s="165"/>
      <c r="Q47" s="165">
        <v>102.4</v>
      </c>
      <c r="R47" s="165">
        <v>102.9</v>
      </c>
      <c r="S47" s="165"/>
      <c r="T47" s="165">
        <v>102.6</v>
      </c>
      <c r="U47" s="165">
        <v>103</v>
      </c>
      <c r="V47" s="91"/>
    </row>
    <row r="48" spans="1:22" ht="12.75">
      <c r="A48" s="165"/>
      <c r="B48" s="195"/>
      <c r="C48" s="165" t="s">
        <v>348</v>
      </c>
      <c r="D48" s="165"/>
      <c r="E48" s="165"/>
      <c r="F48" s="165"/>
      <c r="G48" s="165"/>
      <c r="H48" s="165">
        <v>95</v>
      </c>
      <c r="I48" s="165">
        <v>97</v>
      </c>
      <c r="J48" s="165"/>
      <c r="K48" s="165">
        <v>100</v>
      </c>
      <c r="L48" s="165">
        <v>100</v>
      </c>
      <c r="M48" s="165"/>
      <c r="N48" s="165">
        <v>100</v>
      </c>
      <c r="O48" s="165">
        <v>100</v>
      </c>
      <c r="P48" s="165"/>
      <c r="Q48" s="165">
        <v>100</v>
      </c>
      <c r="R48" s="165">
        <v>100</v>
      </c>
      <c r="S48" s="165"/>
      <c r="T48" s="165">
        <v>100</v>
      </c>
      <c r="U48" s="165">
        <v>100</v>
      </c>
      <c r="V48" s="165"/>
    </row>
    <row r="49" spans="1:22" ht="12.75">
      <c r="A49" s="165"/>
      <c r="B49" s="195"/>
      <c r="C49" s="165" t="s">
        <v>346</v>
      </c>
      <c r="D49" s="165"/>
      <c r="E49" s="165">
        <v>106.3</v>
      </c>
      <c r="F49" s="165">
        <v>107.4</v>
      </c>
      <c r="G49" s="165">
        <v>104.8</v>
      </c>
      <c r="H49" s="165">
        <v>103</v>
      </c>
      <c r="I49" s="165">
        <v>103.7</v>
      </c>
      <c r="J49" s="165"/>
      <c r="K49" s="165">
        <v>104.2</v>
      </c>
      <c r="L49" s="165">
        <v>104</v>
      </c>
      <c r="M49" s="165"/>
      <c r="N49" s="165">
        <v>104.1</v>
      </c>
      <c r="O49" s="165">
        <v>104.1</v>
      </c>
      <c r="P49" s="165"/>
      <c r="Q49" s="165">
        <v>104.1</v>
      </c>
      <c r="R49" s="165">
        <v>104.1</v>
      </c>
      <c r="S49" s="165"/>
      <c r="T49" s="165">
        <v>104.1</v>
      </c>
      <c r="U49" s="165">
        <v>104.2</v>
      </c>
      <c r="V49" s="165"/>
    </row>
    <row r="50" spans="1:21" ht="12.75">
      <c r="A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1:21" ht="12.75">
      <c r="A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4" ht="12.75">
      <c r="A52" s="361" t="s">
        <v>158</v>
      </c>
      <c r="B52" s="362"/>
      <c r="C52" s="243"/>
      <c r="D52" s="244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6"/>
      <c r="W52" s="247"/>
      <c r="X52" s="247"/>
    </row>
    <row r="53" spans="1:24" ht="12.75">
      <c r="A53" s="243">
        <v>27</v>
      </c>
      <c r="B53" s="248" t="s">
        <v>51</v>
      </c>
      <c r="C53" s="243" t="s">
        <v>52</v>
      </c>
      <c r="D53" s="244"/>
      <c r="E53" s="245">
        <v>8474148.19</v>
      </c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6"/>
      <c r="W53" s="247"/>
      <c r="X53" s="247"/>
    </row>
    <row r="54" spans="1:24" ht="60">
      <c r="A54" s="243">
        <v>28</v>
      </c>
      <c r="B54" s="248" t="s">
        <v>55</v>
      </c>
      <c r="C54" s="243" t="s">
        <v>21</v>
      </c>
      <c r="D54" s="244"/>
      <c r="E54" s="245">
        <v>17708.17</v>
      </c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6"/>
      <c r="W54" s="247"/>
      <c r="X54" s="247"/>
    </row>
    <row r="55" spans="1:24" ht="12.75">
      <c r="A55" s="243"/>
      <c r="B55" s="248"/>
      <c r="C55" s="243"/>
      <c r="D55" s="244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6"/>
      <c r="W55" s="247"/>
      <c r="X55" s="247"/>
    </row>
    <row r="56" spans="1:24" ht="12.75">
      <c r="A56" s="243"/>
      <c r="B56" s="248"/>
      <c r="C56" s="243"/>
      <c r="D56" s="244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6"/>
      <c r="W56" s="247"/>
      <c r="X56" s="247"/>
    </row>
    <row r="57" spans="1:24" ht="36">
      <c r="A57" s="243"/>
      <c r="B57" s="248" t="s">
        <v>185</v>
      </c>
      <c r="C57" s="243" t="s">
        <v>28</v>
      </c>
      <c r="D57" s="244"/>
      <c r="E57" s="245">
        <v>3557.4</v>
      </c>
      <c r="F57" s="245">
        <v>4166.2</v>
      </c>
      <c r="G57" s="245">
        <v>4601.4</v>
      </c>
      <c r="H57" s="245">
        <v>4827.3</v>
      </c>
      <c r="I57" s="245">
        <v>4871.5</v>
      </c>
      <c r="J57" s="245">
        <v>4915.7</v>
      </c>
      <c r="K57" s="245">
        <v>5120.5</v>
      </c>
      <c r="L57" s="245">
        <v>5209.7</v>
      </c>
      <c r="M57" s="245">
        <v>5328.1</v>
      </c>
      <c r="N57" s="245">
        <v>5432.1</v>
      </c>
      <c r="O57" s="245">
        <v>5572.2</v>
      </c>
      <c r="P57" s="245">
        <v>5760.9</v>
      </c>
      <c r="Q57" s="245">
        <v>5763.3</v>
      </c>
      <c r="R57" s="245">
        <v>5960.8</v>
      </c>
      <c r="S57" s="245">
        <v>6230</v>
      </c>
      <c r="T57" s="245">
        <v>6115.4</v>
      </c>
      <c r="U57" s="245">
        <v>6377.3</v>
      </c>
      <c r="V57" s="246"/>
      <c r="W57" s="247"/>
      <c r="X57" s="249">
        <v>6738.5</v>
      </c>
    </row>
    <row r="58" spans="1:24" ht="12.75">
      <c r="A58" s="363">
        <v>29</v>
      </c>
      <c r="B58" s="364" t="s">
        <v>84</v>
      </c>
      <c r="C58" s="243" t="s">
        <v>52</v>
      </c>
      <c r="D58" s="244"/>
      <c r="E58" s="245">
        <v>3386100</v>
      </c>
      <c r="F58" s="245">
        <v>3987</v>
      </c>
      <c r="G58" s="245">
        <v>4421.8</v>
      </c>
      <c r="H58" s="245">
        <v>4647.3</v>
      </c>
      <c r="I58" s="245">
        <v>4691.5</v>
      </c>
      <c r="J58" s="245">
        <v>4735.7</v>
      </c>
      <c r="K58" s="245">
        <v>4940.1</v>
      </c>
      <c r="L58" s="245">
        <v>5029.3</v>
      </c>
      <c r="M58" s="245">
        <v>5147.7</v>
      </c>
      <c r="N58" s="245">
        <v>5251.3</v>
      </c>
      <c r="O58" s="245">
        <v>5391.4</v>
      </c>
      <c r="P58" s="245">
        <v>5580.1</v>
      </c>
      <c r="Q58" s="245">
        <v>5582.1</v>
      </c>
      <c r="R58" s="245">
        <v>5779.6</v>
      </c>
      <c r="S58" s="245">
        <v>6048.8</v>
      </c>
      <c r="T58" s="245">
        <v>5933.8</v>
      </c>
      <c r="U58" s="245">
        <v>6195.7</v>
      </c>
      <c r="V58" s="246">
        <v>6556.9</v>
      </c>
      <c r="W58" s="247"/>
      <c r="X58" s="249"/>
    </row>
    <row r="59" spans="1:24" ht="36">
      <c r="A59" s="363"/>
      <c r="B59" s="364"/>
      <c r="C59" s="243" t="s">
        <v>6</v>
      </c>
      <c r="D59" s="244"/>
      <c r="E59" s="245">
        <v>102.82</v>
      </c>
      <c r="F59" s="245">
        <f>F58/E58*100</f>
        <v>0.11774607956055638</v>
      </c>
      <c r="G59" s="245">
        <f>G58/F58*100</f>
        <v>110.9054426887384</v>
      </c>
      <c r="H59" s="245">
        <f>H58/G58*100</f>
        <v>105.09973314035008</v>
      </c>
      <c r="I59" s="245">
        <f>I58/G58*100</f>
        <v>106.09932606630782</v>
      </c>
      <c r="J59" s="245">
        <f aca="true" t="shared" si="16" ref="J59:U59">J58/G58*100</f>
        <v>107.09891899226558</v>
      </c>
      <c r="K59" s="245">
        <f t="shared" si="16"/>
        <v>106.3004325091989</v>
      </c>
      <c r="L59" s="245">
        <f t="shared" si="16"/>
        <v>107.20025578173293</v>
      </c>
      <c r="M59" s="245">
        <f t="shared" si="16"/>
        <v>108.69987541440547</v>
      </c>
      <c r="N59" s="245">
        <f t="shared" si="16"/>
        <v>106.29946762211291</v>
      </c>
      <c r="O59" s="245">
        <f t="shared" si="16"/>
        <v>107.1998091185652</v>
      </c>
      <c r="P59" s="245">
        <f t="shared" si="16"/>
        <v>108.39986790216992</v>
      </c>
      <c r="Q59" s="245">
        <f t="shared" si="16"/>
        <v>106.2993925313732</v>
      </c>
      <c r="R59" s="245">
        <f t="shared" si="16"/>
        <v>107.20035612271397</v>
      </c>
      <c r="S59" s="245">
        <f t="shared" si="16"/>
        <v>108.39949104854752</v>
      </c>
      <c r="T59" s="245">
        <f t="shared" si="16"/>
        <v>106.30049622901777</v>
      </c>
      <c r="U59" s="245">
        <f t="shared" si="16"/>
        <v>107.19946017025399</v>
      </c>
      <c r="V59" s="246"/>
      <c r="W59" s="247"/>
      <c r="X59" s="249"/>
    </row>
    <row r="60" spans="1:24" ht="96">
      <c r="A60" s="243">
        <v>30</v>
      </c>
      <c r="B60" s="248" t="s">
        <v>82</v>
      </c>
      <c r="C60" s="243" t="s">
        <v>59</v>
      </c>
      <c r="D60" s="243">
        <v>13.8</v>
      </c>
      <c r="E60" s="245">
        <v>14.07</v>
      </c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6"/>
      <c r="W60" s="247"/>
      <c r="X60" s="247"/>
    </row>
    <row r="61" spans="1:24" ht="12.75">
      <c r="A61" s="363">
        <v>31</v>
      </c>
      <c r="B61" s="364" t="s">
        <v>168</v>
      </c>
      <c r="C61" s="243" t="s">
        <v>13</v>
      </c>
      <c r="D61" s="244"/>
      <c r="E61" s="245">
        <v>24325.43</v>
      </c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6"/>
      <c r="W61" s="247"/>
      <c r="X61" s="247"/>
    </row>
    <row r="62" spans="1:24" ht="36">
      <c r="A62" s="363"/>
      <c r="B62" s="364"/>
      <c r="C62" s="243" t="s">
        <v>6</v>
      </c>
      <c r="D62" s="244"/>
      <c r="E62" s="245">
        <v>100.34</v>
      </c>
      <c r="F62" s="245">
        <f>F61/E61*100</f>
        <v>0</v>
      </c>
      <c r="G62" s="245" t="e">
        <f>G61/F61*100</f>
        <v>#DIV/0!</v>
      </c>
      <c r="H62" s="245" t="e">
        <f>H61/G61*100</f>
        <v>#DIV/0!</v>
      </c>
      <c r="I62" s="245" t="e">
        <f>I61/G61*100</f>
        <v>#DIV/0!</v>
      </c>
      <c r="J62" s="245" t="e">
        <f aca="true" t="shared" si="17" ref="J62:U62">J61/G61*100</f>
        <v>#DIV/0!</v>
      </c>
      <c r="K62" s="245" t="e">
        <f t="shared" si="17"/>
        <v>#DIV/0!</v>
      </c>
      <c r="L62" s="245" t="e">
        <f t="shared" si="17"/>
        <v>#DIV/0!</v>
      </c>
      <c r="M62" s="245" t="e">
        <f t="shared" si="17"/>
        <v>#DIV/0!</v>
      </c>
      <c r="N62" s="245" t="e">
        <f t="shared" si="17"/>
        <v>#DIV/0!</v>
      </c>
      <c r="O62" s="245" t="e">
        <f t="shared" si="17"/>
        <v>#DIV/0!</v>
      </c>
      <c r="P62" s="245" t="e">
        <f t="shared" si="17"/>
        <v>#DIV/0!</v>
      </c>
      <c r="Q62" s="245" t="e">
        <f t="shared" si="17"/>
        <v>#DIV/0!</v>
      </c>
      <c r="R62" s="245" t="e">
        <f t="shared" si="17"/>
        <v>#DIV/0!</v>
      </c>
      <c r="S62" s="245" t="e">
        <f t="shared" si="17"/>
        <v>#DIV/0!</v>
      </c>
      <c r="T62" s="245" t="e">
        <f t="shared" si="17"/>
        <v>#DIV/0!</v>
      </c>
      <c r="U62" s="245" t="e">
        <f t="shared" si="17"/>
        <v>#DIV/0!</v>
      </c>
      <c r="V62" s="246"/>
      <c r="W62" s="247"/>
      <c r="X62" s="247"/>
    </row>
  </sheetData>
  <sheetProtection/>
  <mergeCells count="30">
    <mergeCell ref="W3:X3"/>
    <mergeCell ref="A6:A7"/>
    <mergeCell ref="B6:B7"/>
    <mergeCell ref="A2:A5"/>
    <mergeCell ref="B2:B5"/>
    <mergeCell ref="C2:C5"/>
    <mergeCell ref="D3:D5"/>
    <mergeCell ref="H2:V2"/>
    <mergeCell ref="E3:E5"/>
    <mergeCell ref="F3:F5"/>
    <mergeCell ref="A21:A22"/>
    <mergeCell ref="B21:B22"/>
    <mergeCell ref="B17:B18"/>
    <mergeCell ref="B19:B20"/>
    <mergeCell ref="Q3:S3"/>
    <mergeCell ref="T3:V3"/>
    <mergeCell ref="G3:G5"/>
    <mergeCell ref="H3:J3"/>
    <mergeCell ref="K3:M3"/>
    <mergeCell ref="N3:P3"/>
    <mergeCell ref="A52:B52"/>
    <mergeCell ref="A58:A59"/>
    <mergeCell ref="B58:B59"/>
    <mergeCell ref="A61:A62"/>
    <mergeCell ref="B61:B62"/>
    <mergeCell ref="A15:A16"/>
    <mergeCell ref="B15:B16"/>
    <mergeCell ref="A33:B33"/>
    <mergeCell ref="A45:A46"/>
    <mergeCell ref="B45:B46"/>
  </mergeCells>
  <printOptions/>
  <pageMargins left="0.2" right="0.23" top="0.33" bottom="0.28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138"/>
  <sheetViews>
    <sheetView zoomScale="59" zoomScaleNormal="59" zoomScalePageLayoutView="0" workbookViewId="0" topLeftCell="A1">
      <pane ySplit="960" topLeftCell="A79" activePane="bottomLeft" state="split"/>
      <selection pane="topLeft" activeCell="AB3" sqref="AB3:AG4"/>
      <selection pane="bottomLeft" activeCell="AE117" sqref="AE117"/>
    </sheetView>
  </sheetViews>
  <sheetFormatPr defaultColWidth="8.625" defaultRowHeight="12.75"/>
  <cols>
    <col min="1" max="10" width="8.625" style="135" customWidth="1"/>
    <col min="11" max="11" width="7.00390625" style="135" customWidth="1"/>
    <col min="12" max="12" width="7.625" style="135" customWidth="1"/>
    <col min="13" max="13" width="8.625" style="135" customWidth="1"/>
    <col min="14" max="15" width="7.25390625" style="135" customWidth="1"/>
    <col min="16" max="16" width="8.625" style="135" customWidth="1"/>
    <col min="17" max="18" width="7.25390625" style="135" customWidth="1"/>
    <col min="19" max="19" width="8.625" style="135" customWidth="1"/>
    <col min="20" max="20" width="7.375" style="135" customWidth="1"/>
    <col min="21" max="21" width="7.25390625" style="135" customWidth="1"/>
    <col min="22" max="22" width="8.625" style="135" customWidth="1"/>
    <col min="23" max="24" width="7.25390625" style="135" customWidth="1"/>
    <col min="25" max="25" width="8.625" style="135" customWidth="1"/>
    <col min="26" max="26" width="7.25390625" style="135" customWidth="1"/>
    <col min="27" max="27" width="7.125" style="135" customWidth="1"/>
    <col min="28" max="28" width="8.625" style="135" customWidth="1"/>
    <col min="29" max="30" width="7.25390625" style="135" customWidth="1"/>
    <col min="31" max="35" width="8.625" style="135" customWidth="1"/>
    <col min="36" max="36" width="16.125" style="135" customWidth="1"/>
    <col min="37" max="37" width="8.625" style="135" customWidth="1"/>
    <col min="38" max="38" width="21.875" style="135" customWidth="1"/>
    <col min="39" max="16384" width="8.625" style="135" customWidth="1"/>
  </cols>
  <sheetData>
    <row r="2" spans="10:33" ht="12">
      <c r="J2" s="392">
        <v>2017</v>
      </c>
      <c r="K2" s="392"/>
      <c r="L2" s="392"/>
      <c r="M2" s="392">
        <v>2018</v>
      </c>
      <c r="N2" s="392"/>
      <c r="O2" s="392"/>
      <c r="P2" s="392">
        <v>2019</v>
      </c>
      <c r="Q2" s="392"/>
      <c r="R2" s="392"/>
      <c r="S2" s="392">
        <v>2020</v>
      </c>
      <c r="T2" s="392"/>
      <c r="U2" s="392"/>
      <c r="V2" s="392">
        <v>2021</v>
      </c>
      <c r="W2" s="392"/>
      <c r="X2" s="392"/>
      <c r="Y2" s="392">
        <v>2022</v>
      </c>
      <c r="Z2" s="392"/>
      <c r="AA2" s="392"/>
      <c r="AB2" s="392">
        <v>2023</v>
      </c>
      <c r="AC2" s="392"/>
      <c r="AD2" s="392"/>
      <c r="AE2" s="392">
        <v>2024</v>
      </c>
      <c r="AF2" s="392"/>
      <c r="AG2" s="392"/>
    </row>
    <row r="3" spans="1:33" ht="12">
      <c r="A3" s="394"/>
      <c r="B3" s="396" t="s">
        <v>287</v>
      </c>
      <c r="C3" s="397"/>
      <c r="D3" s="398"/>
      <c r="E3" s="399"/>
      <c r="F3" s="136" t="s">
        <v>286</v>
      </c>
      <c r="G3" s="136"/>
      <c r="H3" s="136"/>
      <c r="I3" s="399"/>
      <c r="J3" s="136" t="s">
        <v>307</v>
      </c>
      <c r="K3" s="136"/>
      <c r="L3" s="136"/>
      <c r="M3" s="136" t="s">
        <v>308</v>
      </c>
      <c r="N3" s="136"/>
      <c r="O3" s="136"/>
      <c r="P3" s="136" t="s">
        <v>309</v>
      </c>
      <c r="Q3" s="136"/>
      <c r="R3" s="136"/>
      <c r="S3" s="136" t="s">
        <v>310</v>
      </c>
      <c r="T3" s="136"/>
      <c r="U3" s="136"/>
      <c r="V3" s="136" t="s">
        <v>311</v>
      </c>
      <c r="W3" s="136"/>
      <c r="X3" s="136"/>
      <c r="Y3" s="136" t="s">
        <v>338</v>
      </c>
      <c r="Z3" s="136"/>
      <c r="AA3" s="136"/>
      <c r="AB3" s="136" t="s">
        <v>339</v>
      </c>
      <c r="AC3" s="136"/>
      <c r="AD3" s="136"/>
      <c r="AE3" s="136" t="s">
        <v>344</v>
      </c>
      <c r="AF3" s="136"/>
      <c r="AG3" s="136"/>
    </row>
    <row r="4" spans="1:38" ht="36">
      <c r="A4" s="395"/>
      <c r="B4" s="137" t="s">
        <v>194</v>
      </c>
      <c r="C4" s="137" t="s">
        <v>195</v>
      </c>
      <c r="D4" s="137" t="s">
        <v>196</v>
      </c>
      <c r="E4" s="400"/>
      <c r="F4" s="138" t="s">
        <v>194</v>
      </c>
      <c r="G4" s="139" t="s">
        <v>195</v>
      </c>
      <c r="H4" s="139" t="s">
        <v>196</v>
      </c>
      <c r="I4" s="400"/>
      <c r="J4" s="138" t="s">
        <v>194</v>
      </c>
      <c r="K4" s="139" t="s">
        <v>195</v>
      </c>
      <c r="L4" s="139" t="s">
        <v>196</v>
      </c>
      <c r="M4" s="138" t="s">
        <v>194</v>
      </c>
      <c r="N4" s="139" t="s">
        <v>195</v>
      </c>
      <c r="O4" s="139" t="s">
        <v>196</v>
      </c>
      <c r="P4" s="138" t="s">
        <v>194</v>
      </c>
      <c r="Q4" s="139" t="s">
        <v>195</v>
      </c>
      <c r="R4" s="139" t="s">
        <v>196</v>
      </c>
      <c r="S4" s="138" t="s">
        <v>194</v>
      </c>
      <c r="T4" s="139" t="s">
        <v>195</v>
      </c>
      <c r="U4" s="139" t="s">
        <v>196</v>
      </c>
      <c r="V4" s="138" t="s">
        <v>194</v>
      </c>
      <c r="W4" s="139" t="s">
        <v>195</v>
      </c>
      <c r="X4" s="139" t="s">
        <v>196</v>
      </c>
      <c r="Y4" s="138" t="s">
        <v>194</v>
      </c>
      <c r="Z4" s="139" t="s">
        <v>195</v>
      </c>
      <c r="AA4" s="139" t="s">
        <v>196</v>
      </c>
      <c r="AB4" s="138" t="s">
        <v>194</v>
      </c>
      <c r="AC4" s="139" t="s">
        <v>195</v>
      </c>
      <c r="AD4" s="139" t="s">
        <v>196</v>
      </c>
      <c r="AE4" s="138" t="s">
        <v>194</v>
      </c>
      <c r="AF4" s="139" t="s">
        <v>195</v>
      </c>
      <c r="AG4" s="139" t="s">
        <v>196</v>
      </c>
      <c r="AJ4" s="401" t="s">
        <v>312</v>
      </c>
      <c r="AK4" s="401"/>
      <c r="AL4" s="401"/>
    </row>
    <row r="5" spans="1:38" ht="24" customHeight="1">
      <c r="A5" s="140" t="s">
        <v>193</v>
      </c>
      <c r="B5" s="141">
        <v>40612</v>
      </c>
      <c r="C5" s="141">
        <v>19768</v>
      </c>
      <c r="D5" s="141">
        <v>20844</v>
      </c>
      <c r="E5" s="142" t="s">
        <v>283</v>
      </c>
      <c r="F5" s="143">
        <v>39914</v>
      </c>
      <c r="G5" s="143">
        <v>19423</v>
      </c>
      <c r="H5" s="143">
        <v>20491</v>
      </c>
      <c r="I5" s="142" t="s">
        <v>283</v>
      </c>
      <c r="J5" s="143">
        <f>J12+J18+J24+J30+J36+J42+J48+J54+J60+J66+J72+J78+J84+J90+J96+J102+J108+J109</f>
        <v>40378</v>
      </c>
      <c r="K5" s="143">
        <f>K12+K18+K24+K30+K36+K42+K48+K54+K60+K66+K72+K78+K84+K90+K96+K102+K108+K109</f>
        <v>19702</v>
      </c>
      <c r="L5" s="143">
        <f>L12+L18+L24+L30+L36+L42+L48+L54+L60+L66+L72+L78+L84+L90+L96+L102+L108+L109</f>
        <v>20676</v>
      </c>
      <c r="M5" s="143">
        <f>M12+M18+M24+M30+M36+M42+M48+M54+M60+M66+M72+M78+M84+M90+M96+M102+M108+M109</f>
        <v>16011</v>
      </c>
      <c r="N5" s="143"/>
      <c r="O5" s="143"/>
      <c r="P5" s="143">
        <f>P12+P18+P24+P30+P36+P42+P48+P54+P60+P66+P72+P78+P84+P90+P96+P102+P108+P109</f>
        <v>15766</v>
      </c>
      <c r="Q5" s="143"/>
      <c r="R5" s="143"/>
      <c r="S5" s="143">
        <f>S12+S18+S24+S30+S36+S42+S48+S54+S60+S66+S72+S78+S84+S90+S96+S102+S108+S109</f>
        <v>16407</v>
      </c>
      <c r="T5" s="143"/>
      <c r="U5" s="143"/>
      <c r="V5" s="143">
        <f>V12+V18+V24+V30+V36+V42+V48+V54+V60+V66+V72+V78+V84+V90+V96+V102+V108+V109</f>
        <v>16983</v>
      </c>
      <c r="W5" s="143"/>
      <c r="X5" s="143"/>
      <c r="Y5" s="143">
        <f>Y12+Y18+Y24+Y30+Y36+Y42+Y48+Y54+Y60+Y66+Y72+Y78+Y84+Y90+Y96+Y102+Y108+Y109</f>
        <v>17528</v>
      </c>
      <c r="Z5" s="143"/>
      <c r="AA5" s="143"/>
      <c r="AB5" s="143">
        <f>AB12+AB18+AB24+AB30+AB36+AB42+AB48+AB54+AB60+AB66+AB72+AB78+AB84+AB90+AB96+AB102+AB108+AB109</f>
        <v>18042</v>
      </c>
      <c r="AC5" s="143"/>
      <c r="AD5" s="143"/>
      <c r="AE5" s="143">
        <f>AE12+AE18+AE24+AE30+AE36+AE42+AE48+AE54+AE60+AE66+AE72+AE78+AE84+AE90+AE96+AE102+AE108+AE109</f>
        <v>18591</v>
      </c>
      <c r="AF5" s="143"/>
      <c r="AG5" s="143"/>
      <c r="AJ5" s="133" t="s">
        <v>313</v>
      </c>
      <c r="AK5" s="133" t="s">
        <v>314</v>
      </c>
      <c r="AL5" s="133" t="s">
        <v>315</v>
      </c>
    </row>
    <row r="6" spans="1:38" ht="28.5" customHeight="1">
      <c r="A6" s="144" t="s">
        <v>197</v>
      </c>
      <c r="B6" s="141"/>
      <c r="C6" s="141"/>
      <c r="D6" s="141"/>
      <c r="E6" s="145" t="s">
        <v>284</v>
      </c>
      <c r="F6" s="146"/>
      <c r="G6" s="146"/>
      <c r="H6" s="146"/>
      <c r="I6" s="145" t="s">
        <v>284</v>
      </c>
      <c r="J6" s="146"/>
      <c r="K6" s="146"/>
      <c r="L6" s="146"/>
      <c r="S6" s="393" t="s">
        <v>345</v>
      </c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J6" s="134" t="s">
        <v>316</v>
      </c>
      <c r="AK6" s="134" t="s">
        <v>317</v>
      </c>
      <c r="AL6" s="134" t="s">
        <v>318</v>
      </c>
    </row>
    <row r="7" spans="1:38" ht="12">
      <c r="A7" s="144" t="s">
        <v>198</v>
      </c>
      <c r="B7" s="147">
        <v>550</v>
      </c>
      <c r="C7" s="147">
        <v>300</v>
      </c>
      <c r="D7" s="147">
        <v>250</v>
      </c>
      <c r="E7" s="148" t="s">
        <v>198</v>
      </c>
      <c r="F7" s="146">
        <v>509</v>
      </c>
      <c r="G7" s="146">
        <v>246</v>
      </c>
      <c r="H7" s="146">
        <v>263</v>
      </c>
      <c r="I7" s="148" t="s">
        <v>198</v>
      </c>
      <c r="J7" s="146">
        <v>475</v>
      </c>
      <c r="K7" s="146">
        <v>239</v>
      </c>
      <c r="L7" s="146">
        <v>236</v>
      </c>
      <c r="M7" s="146">
        <v>430</v>
      </c>
      <c r="P7" s="146">
        <v>480</v>
      </c>
      <c r="S7" s="135">
        <v>460</v>
      </c>
      <c r="V7" s="135">
        <v>470</v>
      </c>
      <c r="Y7" s="135">
        <v>460</v>
      </c>
      <c r="AB7" s="135">
        <v>460</v>
      </c>
      <c r="AE7" s="135">
        <v>470</v>
      </c>
      <c r="AJ7" s="134" t="s">
        <v>319</v>
      </c>
      <c r="AK7" s="134" t="s">
        <v>317</v>
      </c>
      <c r="AL7" s="134" t="s">
        <v>320</v>
      </c>
    </row>
    <row r="8" spans="1:38" ht="12">
      <c r="A8" s="144" t="s">
        <v>199</v>
      </c>
      <c r="B8" s="147">
        <v>539</v>
      </c>
      <c r="C8" s="147">
        <v>287</v>
      </c>
      <c r="D8" s="147">
        <v>252</v>
      </c>
      <c r="E8" s="148" t="s">
        <v>199</v>
      </c>
      <c r="F8" s="146">
        <v>538</v>
      </c>
      <c r="G8" s="146">
        <v>288</v>
      </c>
      <c r="H8" s="146">
        <v>250</v>
      </c>
      <c r="I8" s="148" t="s">
        <v>199</v>
      </c>
      <c r="J8" s="146">
        <v>534</v>
      </c>
      <c r="K8" s="146">
        <v>253</v>
      </c>
      <c r="L8" s="146">
        <v>281</v>
      </c>
      <c r="M8" s="146">
        <v>475</v>
      </c>
      <c r="N8" s="146">
        <v>239</v>
      </c>
      <c r="O8" s="146">
        <v>236</v>
      </c>
      <c r="P8" s="146">
        <v>430</v>
      </c>
      <c r="S8" s="146">
        <v>480</v>
      </c>
      <c r="V8" s="135">
        <v>460</v>
      </c>
      <c r="Y8" s="135">
        <v>470</v>
      </c>
      <c r="AB8" s="135">
        <v>460</v>
      </c>
      <c r="AE8" s="135">
        <v>460</v>
      </c>
      <c r="AJ8" s="134" t="s">
        <v>321</v>
      </c>
      <c r="AK8" s="134" t="s">
        <v>322</v>
      </c>
      <c r="AL8" s="134" t="s">
        <v>323</v>
      </c>
    </row>
    <row r="9" spans="1:38" ht="12">
      <c r="A9" s="144" t="s">
        <v>200</v>
      </c>
      <c r="B9" s="147">
        <v>526</v>
      </c>
      <c r="C9" s="147">
        <v>248</v>
      </c>
      <c r="D9" s="147">
        <v>278</v>
      </c>
      <c r="E9" s="148" t="s">
        <v>200</v>
      </c>
      <c r="F9" s="146">
        <v>528</v>
      </c>
      <c r="G9" s="146">
        <v>283</v>
      </c>
      <c r="H9" s="146">
        <v>245</v>
      </c>
      <c r="I9" s="148" t="s">
        <v>200</v>
      </c>
      <c r="J9" s="146">
        <v>553</v>
      </c>
      <c r="K9" s="146">
        <v>293</v>
      </c>
      <c r="L9" s="146">
        <v>260</v>
      </c>
      <c r="M9" s="146">
        <v>534</v>
      </c>
      <c r="N9" s="146">
        <v>253</v>
      </c>
      <c r="O9" s="146">
        <v>281</v>
      </c>
      <c r="P9" s="146">
        <v>475</v>
      </c>
      <c r="Q9" s="146">
        <v>239</v>
      </c>
      <c r="R9" s="146">
        <v>236</v>
      </c>
      <c r="S9" s="146">
        <v>430</v>
      </c>
      <c r="V9" s="146">
        <v>480</v>
      </c>
      <c r="Y9" s="135">
        <v>460</v>
      </c>
      <c r="AB9" s="135">
        <v>470</v>
      </c>
      <c r="AE9" s="135">
        <v>460</v>
      </c>
      <c r="AJ9" s="134" t="s">
        <v>324</v>
      </c>
      <c r="AK9" s="134" t="s">
        <v>322</v>
      </c>
      <c r="AL9" s="134" t="s">
        <v>325</v>
      </c>
    </row>
    <row r="10" spans="1:38" ht="12">
      <c r="A10" s="144" t="s">
        <v>201</v>
      </c>
      <c r="B10" s="147">
        <v>534</v>
      </c>
      <c r="C10" s="147">
        <v>258</v>
      </c>
      <c r="D10" s="147">
        <v>276</v>
      </c>
      <c r="E10" s="148" t="s">
        <v>201</v>
      </c>
      <c r="F10" s="146">
        <v>510</v>
      </c>
      <c r="G10" s="146">
        <v>239</v>
      </c>
      <c r="H10" s="146">
        <v>271</v>
      </c>
      <c r="I10" s="148" t="s">
        <v>201</v>
      </c>
      <c r="J10" s="146">
        <v>551</v>
      </c>
      <c r="K10" s="146">
        <v>293</v>
      </c>
      <c r="L10" s="146">
        <v>258</v>
      </c>
      <c r="M10" s="146">
        <v>553</v>
      </c>
      <c r="N10" s="146">
        <v>293</v>
      </c>
      <c r="O10" s="146">
        <v>260</v>
      </c>
      <c r="P10" s="146">
        <v>534</v>
      </c>
      <c r="Q10" s="146">
        <v>253</v>
      </c>
      <c r="R10" s="146">
        <v>281</v>
      </c>
      <c r="S10" s="146">
        <v>475</v>
      </c>
      <c r="T10" s="146">
        <v>239</v>
      </c>
      <c r="U10" s="146">
        <v>236</v>
      </c>
      <c r="V10" s="135">
        <v>430</v>
      </c>
      <c r="Y10" s="135">
        <v>480</v>
      </c>
      <c r="AB10" s="135">
        <v>460</v>
      </c>
      <c r="AE10" s="135">
        <v>470</v>
      </c>
      <c r="AJ10" s="134">
        <v>1966</v>
      </c>
      <c r="AK10" s="134">
        <v>58</v>
      </c>
      <c r="AL10" s="134">
        <v>2024</v>
      </c>
    </row>
    <row r="11" spans="1:38" ht="12">
      <c r="A11" s="144" t="s">
        <v>202</v>
      </c>
      <c r="B11" s="147">
        <v>511</v>
      </c>
      <c r="C11" s="147">
        <v>271</v>
      </c>
      <c r="D11" s="147">
        <v>240</v>
      </c>
      <c r="E11" s="148" t="s">
        <v>202</v>
      </c>
      <c r="F11" s="146">
        <v>507</v>
      </c>
      <c r="G11" s="146">
        <v>236</v>
      </c>
      <c r="H11" s="146">
        <v>271</v>
      </c>
      <c r="I11" s="148" t="s">
        <v>202</v>
      </c>
      <c r="J11" s="146">
        <v>511</v>
      </c>
      <c r="K11" s="146">
        <v>243</v>
      </c>
      <c r="L11" s="146">
        <v>268</v>
      </c>
      <c r="M11" s="146">
        <v>551</v>
      </c>
      <c r="N11" s="146">
        <v>293</v>
      </c>
      <c r="O11" s="146">
        <v>258</v>
      </c>
      <c r="P11" s="146">
        <v>553</v>
      </c>
      <c r="Q11" s="146">
        <v>293</v>
      </c>
      <c r="R11" s="146">
        <v>260</v>
      </c>
      <c r="S11" s="146">
        <v>534</v>
      </c>
      <c r="T11" s="146">
        <v>253</v>
      </c>
      <c r="U11" s="146">
        <v>281</v>
      </c>
      <c r="V11" s="146">
        <v>475</v>
      </c>
      <c r="W11" s="146">
        <v>239</v>
      </c>
      <c r="X11" s="146">
        <v>236</v>
      </c>
      <c r="Y11" s="135">
        <v>430</v>
      </c>
      <c r="AB11" s="135">
        <v>480</v>
      </c>
      <c r="AE11" s="135">
        <v>460</v>
      </c>
      <c r="AJ11" s="134">
        <v>1967</v>
      </c>
      <c r="AK11" s="134">
        <v>59</v>
      </c>
      <c r="AL11" s="134">
        <v>2026</v>
      </c>
    </row>
    <row r="12" spans="1:38" ht="18" customHeight="1">
      <c r="A12" s="140" t="s">
        <v>203</v>
      </c>
      <c r="B12" s="141">
        <v>2660</v>
      </c>
      <c r="C12" s="141">
        <v>1364</v>
      </c>
      <c r="D12" s="141">
        <v>1296</v>
      </c>
      <c r="E12" s="142" t="s">
        <v>203</v>
      </c>
      <c r="F12" s="143">
        <v>2592</v>
      </c>
      <c r="G12" s="143">
        <v>1292</v>
      </c>
      <c r="H12" s="143">
        <v>1300</v>
      </c>
      <c r="I12" s="142" t="s">
        <v>203</v>
      </c>
      <c r="J12" s="143">
        <f>SUM(J7:J11)</f>
        <v>2624</v>
      </c>
      <c r="K12" s="143">
        <f>SUM(K7:K11)</f>
        <v>1321</v>
      </c>
      <c r="L12" s="143">
        <f>SUM(L7:L11)</f>
        <v>1303</v>
      </c>
      <c r="M12" s="143">
        <f>SUM(M7:M11)</f>
        <v>2543</v>
      </c>
      <c r="N12" s="143"/>
      <c r="O12" s="143"/>
      <c r="P12" s="143">
        <f>SUM(P7:P11)</f>
        <v>2472</v>
      </c>
      <c r="Q12" s="143"/>
      <c r="R12" s="143"/>
      <c r="S12" s="143">
        <f>SUM(S7:S11)</f>
        <v>2379</v>
      </c>
      <c r="T12" s="143"/>
      <c r="U12" s="143"/>
      <c r="V12" s="143">
        <f>SUM(V7:V11)</f>
        <v>2315</v>
      </c>
      <c r="W12" s="143"/>
      <c r="X12" s="143"/>
      <c r="Y12" s="143">
        <f>SUM(Y7:Y11)</f>
        <v>2300</v>
      </c>
      <c r="Z12" s="143"/>
      <c r="AA12" s="143"/>
      <c r="AB12" s="143">
        <f>SUM(AB7:AB11)</f>
        <v>2330</v>
      </c>
      <c r="AC12" s="143"/>
      <c r="AD12" s="143"/>
      <c r="AE12" s="143">
        <f>SUM(AE7:AE11)</f>
        <v>2320</v>
      </c>
      <c r="AF12" s="143"/>
      <c r="AG12" s="143"/>
      <c r="AJ12" s="134">
        <v>1968</v>
      </c>
      <c r="AK12" s="134">
        <v>60</v>
      </c>
      <c r="AL12" s="134">
        <v>2028</v>
      </c>
    </row>
    <row r="13" spans="1:38" ht="12">
      <c r="A13" s="144" t="s">
        <v>204</v>
      </c>
      <c r="B13" s="147">
        <v>524</v>
      </c>
      <c r="C13" s="147">
        <v>260</v>
      </c>
      <c r="D13" s="147">
        <v>264</v>
      </c>
      <c r="E13" s="148" t="s">
        <v>204</v>
      </c>
      <c r="F13" s="146">
        <v>497</v>
      </c>
      <c r="G13" s="146">
        <v>257</v>
      </c>
      <c r="H13" s="146">
        <v>240</v>
      </c>
      <c r="I13" s="148" t="s">
        <v>204</v>
      </c>
      <c r="J13" s="146">
        <v>525</v>
      </c>
      <c r="K13" s="146">
        <v>244</v>
      </c>
      <c r="L13" s="146">
        <v>281</v>
      </c>
      <c r="M13" s="146">
        <v>511</v>
      </c>
      <c r="N13" s="146">
        <v>243</v>
      </c>
      <c r="O13" s="146">
        <v>268</v>
      </c>
      <c r="P13" s="146">
        <v>551</v>
      </c>
      <c r="Q13" s="146">
        <v>293</v>
      </c>
      <c r="R13" s="146">
        <v>258</v>
      </c>
      <c r="S13" s="146">
        <v>553</v>
      </c>
      <c r="T13" s="146">
        <v>293</v>
      </c>
      <c r="U13" s="146">
        <v>260</v>
      </c>
      <c r="V13" s="146">
        <v>534</v>
      </c>
      <c r="W13" s="146">
        <v>253</v>
      </c>
      <c r="X13" s="146">
        <v>281</v>
      </c>
      <c r="Y13" s="146">
        <v>475</v>
      </c>
      <c r="Z13" s="146">
        <v>239</v>
      </c>
      <c r="AA13" s="146">
        <v>236</v>
      </c>
      <c r="AB13" s="135">
        <v>430</v>
      </c>
      <c r="AE13" s="135">
        <v>480</v>
      </c>
      <c r="AJ13" s="132"/>
      <c r="AK13" s="132"/>
      <c r="AL13" s="132"/>
    </row>
    <row r="14" spans="1:38" ht="12">
      <c r="A14" s="144" t="s">
        <v>205</v>
      </c>
      <c r="B14" s="147">
        <v>437</v>
      </c>
      <c r="C14" s="147">
        <v>199</v>
      </c>
      <c r="D14" s="147">
        <v>238</v>
      </c>
      <c r="E14" s="148" t="s">
        <v>205</v>
      </c>
      <c r="F14" s="146">
        <v>499</v>
      </c>
      <c r="G14" s="146">
        <v>247</v>
      </c>
      <c r="H14" s="146">
        <v>252</v>
      </c>
      <c r="I14" s="148" t="s">
        <v>205</v>
      </c>
      <c r="J14" s="146">
        <v>515</v>
      </c>
      <c r="K14" s="146">
        <v>263</v>
      </c>
      <c r="L14" s="146">
        <v>252</v>
      </c>
      <c r="M14" s="146">
        <v>525</v>
      </c>
      <c r="N14" s="146">
        <v>244</v>
      </c>
      <c r="O14" s="146">
        <v>281</v>
      </c>
      <c r="P14" s="146">
        <v>511</v>
      </c>
      <c r="Q14" s="146">
        <v>243</v>
      </c>
      <c r="R14" s="146">
        <v>268</v>
      </c>
      <c r="S14" s="146">
        <v>551</v>
      </c>
      <c r="T14" s="146">
        <v>293</v>
      </c>
      <c r="U14" s="146">
        <v>258</v>
      </c>
      <c r="V14" s="146">
        <v>553</v>
      </c>
      <c r="W14" s="146">
        <v>293</v>
      </c>
      <c r="X14" s="146">
        <v>260</v>
      </c>
      <c r="Y14" s="146">
        <v>534</v>
      </c>
      <c r="Z14" s="146">
        <v>253</v>
      </c>
      <c r="AA14" s="146">
        <v>281</v>
      </c>
      <c r="AB14" s="146">
        <v>475</v>
      </c>
      <c r="AC14" s="146">
        <v>239</v>
      </c>
      <c r="AD14" s="146">
        <v>236</v>
      </c>
      <c r="AE14" s="135">
        <v>430</v>
      </c>
      <c r="AJ14" s="401" t="s">
        <v>326</v>
      </c>
      <c r="AK14" s="401"/>
      <c r="AL14" s="401"/>
    </row>
    <row r="15" spans="1:38" ht="48">
      <c r="A15" s="144" t="s">
        <v>206</v>
      </c>
      <c r="B15" s="147">
        <v>475</v>
      </c>
      <c r="C15" s="147">
        <v>234</v>
      </c>
      <c r="D15" s="147">
        <v>241</v>
      </c>
      <c r="E15" s="148" t="s">
        <v>206</v>
      </c>
      <c r="F15" s="146">
        <v>417</v>
      </c>
      <c r="G15" s="146">
        <v>193</v>
      </c>
      <c r="H15" s="146">
        <v>224</v>
      </c>
      <c r="I15" s="148" t="s">
        <v>206</v>
      </c>
      <c r="J15" s="146">
        <v>502</v>
      </c>
      <c r="K15" s="146">
        <v>253</v>
      </c>
      <c r="L15" s="146">
        <v>249</v>
      </c>
      <c r="M15" s="146">
        <v>515</v>
      </c>
      <c r="N15" s="146">
        <v>263</v>
      </c>
      <c r="O15" s="146">
        <v>252</v>
      </c>
      <c r="P15" s="146">
        <v>525</v>
      </c>
      <c r="Q15" s="146">
        <v>244</v>
      </c>
      <c r="R15" s="146">
        <v>281</v>
      </c>
      <c r="S15" s="146">
        <v>511</v>
      </c>
      <c r="T15" s="146">
        <v>243</v>
      </c>
      <c r="U15" s="146">
        <v>268</v>
      </c>
      <c r="V15" s="146">
        <v>551</v>
      </c>
      <c r="W15" s="146">
        <v>293</v>
      </c>
      <c r="X15" s="146">
        <v>258</v>
      </c>
      <c r="Y15" s="146">
        <v>553</v>
      </c>
      <c r="Z15" s="146">
        <v>293</v>
      </c>
      <c r="AA15" s="146">
        <v>260</v>
      </c>
      <c r="AB15" s="146">
        <v>534</v>
      </c>
      <c r="AC15" s="146">
        <v>253</v>
      </c>
      <c r="AD15" s="146">
        <v>281</v>
      </c>
      <c r="AE15" s="146">
        <v>475</v>
      </c>
      <c r="AF15" s="146">
        <v>239</v>
      </c>
      <c r="AG15" s="146">
        <v>236</v>
      </c>
      <c r="AJ15" s="131" t="s">
        <v>327</v>
      </c>
      <c r="AK15" s="131" t="s">
        <v>314</v>
      </c>
      <c r="AL15" s="131" t="s">
        <v>328</v>
      </c>
    </row>
    <row r="16" spans="1:38" ht="12">
      <c r="A16" s="144" t="s">
        <v>207</v>
      </c>
      <c r="B16" s="147">
        <v>488</v>
      </c>
      <c r="C16" s="147">
        <v>251</v>
      </c>
      <c r="D16" s="147">
        <v>237</v>
      </c>
      <c r="E16" s="148" t="s">
        <v>207</v>
      </c>
      <c r="F16" s="146">
        <v>459</v>
      </c>
      <c r="G16" s="146">
        <v>221</v>
      </c>
      <c r="H16" s="146">
        <v>238</v>
      </c>
      <c r="I16" s="148" t="s">
        <v>207</v>
      </c>
      <c r="J16" s="146">
        <v>424</v>
      </c>
      <c r="K16" s="146">
        <v>190</v>
      </c>
      <c r="L16" s="146">
        <v>234</v>
      </c>
      <c r="M16" s="146">
        <v>502</v>
      </c>
      <c r="N16" s="146">
        <v>253</v>
      </c>
      <c r="O16" s="146">
        <v>249</v>
      </c>
      <c r="P16" s="146">
        <v>515</v>
      </c>
      <c r="Q16" s="146">
        <v>263</v>
      </c>
      <c r="R16" s="146">
        <v>252</v>
      </c>
      <c r="S16" s="146">
        <v>525</v>
      </c>
      <c r="T16" s="146">
        <v>244</v>
      </c>
      <c r="U16" s="146">
        <v>281</v>
      </c>
      <c r="V16" s="146">
        <v>511</v>
      </c>
      <c r="W16" s="146">
        <v>243</v>
      </c>
      <c r="X16" s="146">
        <v>268</v>
      </c>
      <c r="Y16" s="146">
        <v>551</v>
      </c>
      <c r="Z16" s="146">
        <v>293</v>
      </c>
      <c r="AA16" s="146">
        <v>258</v>
      </c>
      <c r="AB16" s="146">
        <v>553</v>
      </c>
      <c r="AC16" s="146">
        <v>293</v>
      </c>
      <c r="AD16" s="146">
        <v>260</v>
      </c>
      <c r="AE16" s="146">
        <v>534</v>
      </c>
      <c r="AF16" s="146">
        <v>253</v>
      </c>
      <c r="AG16" s="146">
        <v>281</v>
      </c>
      <c r="AJ16" s="134" t="s">
        <v>329</v>
      </c>
      <c r="AK16" s="134" t="s">
        <v>330</v>
      </c>
      <c r="AL16" s="134" t="s">
        <v>318</v>
      </c>
    </row>
    <row r="17" spans="1:38" ht="12">
      <c r="A17" s="144" t="s">
        <v>208</v>
      </c>
      <c r="B17" s="147">
        <v>414</v>
      </c>
      <c r="C17" s="147">
        <v>181</v>
      </c>
      <c r="D17" s="147">
        <v>233</v>
      </c>
      <c r="E17" s="148" t="s">
        <v>208</v>
      </c>
      <c r="F17" s="146">
        <v>472</v>
      </c>
      <c r="G17" s="146">
        <v>242</v>
      </c>
      <c r="H17" s="146">
        <v>230</v>
      </c>
      <c r="I17" s="148" t="s">
        <v>208</v>
      </c>
      <c r="J17" s="146">
        <v>463</v>
      </c>
      <c r="K17" s="146">
        <v>221</v>
      </c>
      <c r="L17" s="146">
        <v>242</v>
      </c>
      <c r="M17" s="146">
        <v>424</v>
      </c>
      <c r="N17" s="146">
        <v>190</v>
      </c>
      <c r="O17" s="146">
        <v>234</v>
      </c>
      <c r="P17" s="146">
        <v>502</v>
      </c>
      <c r="Q17" s="146">
        <v>253</v>
      </c>
      <c r="R17" s="146">
        <v>249</v>
      </c>
      <c r="S17" s="146">
        <v>515</v>
      </c>
      <c r="T17" s="146">
        <v>263</v>
      </c>
      <c r="U17" s="146">
        <v>252</v>
      </c>
      <c r="V17" s="146">
        <v>525</v>
      </c>
      <c r="W17" s="146">
        <v>244</v>
      </c>
      <c r="X17" s="146">
        <v>281</v>
      </c>
      <c r="Y17" s="146">
        <v>511</v>
      </c>
      <c r="Z17" s="146">
        <v>243</v>
      </c>
      <c r="AA17" s="146">
        <v>268</v>
      </c>
      <c r="AB17" s="146">
        <v>551</v>
      </c>
      <c r="AC17" s="146">
        <v>293</v>
      </c>
      <c r="AD17" s="146">
        <v>258</v>
      </c>
      <c r="AE17" s="146">
        <v>553</v>
      </c>
      <c r="AF17" s="146">
        <v>293</v>
      </c>
      <c r="AG17" s="146">
        <v>260</v>
      </c>
      <c r="AJ17" s="134" t="s">
        <v>331</v>
      </c>
      <c r="AK17" s="134" t="s">
        <v>330</v>
      </c>
      <c r="AL17" s="134" t="s">
        <v>332</v>
      </c>
    </row>
    <row r="18" spans="1:38" ht="12">
      <c r="A18" s="140" t="s">
        <v>209</v>
      </c>
      <c r="B18" s="141">
        <v>2338</v>
      </c>
      <c r="C18" s="141">
        <v>1125</v>
      </c>
      <c r="D18" s="141">
        <v>1213</v>
      </c>
      <c r="E18" s="142" t="s">
        <v>209</v>
      </c>
      <c r="F18" s="143">
        <v>2344</v>
      </c>
      <c r="G18" s="143">
        <v>1160</v>
      </c>
      <c r="H18" s="143">
        <v>1184</v>
      </c>
      <c r="I18" s="142" t="s">
        <v>209</v>
      </c>
      <c r="J18" s="143">
        <f>SUM(J13:J17)</f>
        <v>2429</v>
      </c>
      <c r="K18" s="143">
        <f>SUM(K13:K17)</f>
        <v>1171</v>
      </c>
      <c r="L18" s="143">
        <f>SUM(L13:L17)</f>
        <v>1258</v>
      </c>
      <c r="M18" s="143">
        <f>SUM(M13:M17)</f>
        <v>2477</v>
      </c>
      <c r="N18" s="143"/>
      <c r="O18" s="143"/>
      <c r="P18" s="143">
        <f>SUM(P13:P17)</f>
        <v>2604</v>
      </c>
      <c r="Q18" s="143"/>
      <c r="R18" s="143"/>
      <c r="S18" s="143">
        <f>SUM(S13:S17)</f>
        <v>2655</v>
      </c>
      <c r="T18" s="143"/>
      <c r="U18" s="143"/>
      <c r="V18" s="143">
        <f>SUM(V13:V17)</f>
        <v>2674</v>
      </c>
      <c r="W18" s="143"/>
      <c r="X18" s="143"/>
      <c r="Y18" s="143">
        <f>SUM(Y13:Y17)</f>
        <v>2624</v>
      </c>
      <c r="Z18" s="143"/>
      <c r="AA18" s="143"/>
      <c r="AB18" s="143">
        <f>SUM(AB13:AB17)</f>
        <v>2543</v>
      </c>
      <c r="AC18" s="143"/>
      <c r="AD18" s="143"/>
      <c r="AE18" s="143">
        <f>SUM(AE13:AE17)</f>
        <v>2472</v>
      </c>
      <c r="AF18" s="143"/>
      <c r="AG18" s="143"/>
      <c r="AJ18" s="134" t="s">
        <v>333</v>
      </c>
      <c r="AK18" s="134" t="s">
        <v>334</v>
      </c>
      <c r="AL18" s="134" t="s">
        <v>323</v>
      </c>
    </row>
    <row r="19" spans="1:38" ht="12">
      <c r="A19" s="144" t="s">
        <v>210</v>
      </c>
      <c r="B19" s="147">
        <v>410</v>
      </c>
      <c r="C19" s="147">
        <v>176</v>
      </c>
      <c r="D19" s="147">
        <v>234</v>
      </c>
      <c r="E19" s="148" t="s">
        <v>210</v>
      </c>
      <c r="F19" s="146">
        <v>391</v>
      </c>
      <c r="G19" s="146">
        <v>168</v>
      </c>
      <c r="H19" s="146">
        <v>223</v>
      </c>
      <c r="I19" s="148" t="s">
        <v>210</v>
      </c>
      <c r="J19" s="146">
        <v>465</v>
      </c>
      <c r="K19" s="146">
        <v>236</v>
      </c>
      <c r="L19" s="146">
        <v>229</v>
      </c>
      <c r="M19" s="146">
        <v>463</v>
      </c>
      <c r="N19" s="146">
        <v>221</v>
      </c>
      <c r="O19" s="146">
        <v>242</v>
      </c>
      <c r="P19" s="146">
        <v>424</v>
      </c>
      <c r="Q19" s="146">
        <v>190</v>
      </c>
      <c r="R19" s="146">
        <v>234</v>
      </c>
      <c r="S19" s="146">
        <v>502</v>
      </c>
      <c r="T19" s="146">
        <v>253</v>
      </c>
      <c r="U19" s="146">
        <v>249</v>
      </c>
      <c r="V19" s="146">
        <v>515</v>
      </c>
      <c r="W19" s="146">
        <v>263</v>
      </c>
      <c r="X19" s="146">
        <v>252</v>
      </c>
      <c r="Y19" s="146">
        <v>525</v>
      </c>
      <c r="Z19" s="146">
        <v>244</v>
      </c>
      <c r="AA19" s="146">
        <v>281</v>
      </c>
      <c r="AB19" s="146">
        <v>511</v>
      </c>
      <c r="AC19" s="146">
        <v>243</v>
      </c>
      <c r="AD19" s="146">
        <v>268</v>
      </c>
      <c r="AE19" s="146">
        <v>551</v>
      </c>
      <c r="AF19" s="146">
        <v>293</v>
      </c>
      <c r="AG19" s="146">
        <v>258</v>
      </c>
      <c r="AJ19" s="134" t="s">
        <v>335</v>
      </c>
      <c r="AK19" s="134" t="s">
        <v>334</v>
      </c>
      <c r="AL19" s="134" t="s">
        <v>336</v>
      </c>
    </row>
    <row r="20" spans="1:38" ht="12">
      <c r="A20" s="144" t="s">
        <v>211</v>
      </c>
      <c r="B20" s="147">
        <v>393</v>
      </c>
      <c r="C20" s="147">
        <v>201</v>
      </c>
      <c r="D20" s="147">
        <v>192</v>
      </c>
      <c r="E20" s="148" t="s">
        <v>211</v>
      </c>
      <c r="F20" s="146">
        <v>395</v>
      </c>
      <c r="G20" s="146">
        <v>169</v>
      </c>
      <c r="H20" s="146">
        <v>226</v>
      </c>
      <c r="I20" s="148" t="s">
        <v>211</v>
      </c>
      <c r="J20" s="146">
        <v>391</v>
      </c>
      <c r="K20" s="146">
        <v>169</v>
      </c>
      <c r="L20" s="146">
        <v>222</v>
      </c>
      <c r="M20" s="146">
        <v>465</v>
      </c>
      <c r="N20" s="146">
        <v>236</v>
      </c>
      <c r="O20" s="146">
        <v>229</v>
      </c>
      <c r="P20" s="146">
        <v>463</v>
      </c>
      <c r="Q20" s="146">
        <v>221</v>
      </c>
      <c r="R20" s="146">
        <v>242</v>
      </c>
      <c r="S20" s="146">
        <v>424</v>
      </c>
      <c r="T20" s="146">
        <v>190</v>
      </c>
      <c r="U20" s="146">
        <v>234</v>
      </c>
      <c r="V20" s="146">
        <v>502</v>
      </c>
      <c r="W20" s="146">
        <v>253</v>
      </c>
      <c r="X20" s="146">
        <v>249</v>
      </c>
      <c r="Y20" s="146">
        <v>515</v>
      </c>
      <c r="Z20" s="146">
        <v>263</v>
      </c>
      <c r="AA20" s="146">
        <v>252</v>
      </c>
      <c r="AB20" s="146">
        <v>525</v>
      </c>
      <c r="AC20" s="146">
        <v>244</v>
      </c>
      <c r="AD20" s="146">
        <v>281</v>
      </c>
      <c r="AE20" s="146">
        <v>511</v>
      </c>
      <c r="AF20" s="146">
        <v>243</v>
      </c>
      <c r="AG20" s="146">
        <v>268</v>
      </c>
      <c r="AJ20" s="134">
        <v>1961</v>
      </c>
      <c r="AK20" s="134">
        <v>63</v>
      </c>
      <c r="AL20" s="134">
        <v>2024</v>
      </c>
    </row>
    <row r="21" spans="1:38" ht="12">
      <c r="A21" s="144" t="s">
        <v>212</v>
      </c>
      <c r="B21" s="147">
        <v>421</v>
      </c>
      <c r="C21" s="147">
        <v>201</v>
      </c>
      <c r="D21" s="147">
        <v>220</v>
      </c>
      <c r="E21" s="148" t="s">
        <v>212</v>
      </c>
      <c r="F21" s="146">
        <v>379</v>
      </c>
      <c r="G21" s="146">
        <v>195</v>
      </c>
      <c r="H21" s="146">
        <v>184</v>
      </c>
      <c r="I21" s="148" t="s">
        <v>212</v>
      </c>
      <c r="J21" s="146">
        <v>397</v>
      </c>
      <c r="K21" s="146">
        <v>166</v>
      </c>
      <c r="L21" s="146">
        <v>231</v>
      </c>
      <c r="M21" s="146">
        <v>391</v>
      </c>
      <c r="N21" s="146">
        <v>169</v>
      </c>
      <c r="O21" s="146">
        <v>222</v>
      </c>
      <c r="P21" s="146">
        <v>465</v>
      </c>
      <c r="Q21" s="146">
        <v>236</v>
      </c>
      <c r="R21" s="146">
        <v>229</v>
      </c>
      <c r="S21" s="146">
        <v>463</v>
      </c>
      <c r="T21" s="146">
        <v>221</v>
      </c>
      <c r="U21" s="146">
        <v>242</v>
      </c>
      <c r="V21" s="146">
        <v>424</v>
      </c>
      <c r="W21" s="146">
        <v>190</v>
      </c>
      <c r="X21" s="146">
        <v>234</v>
      </c>
      <c r="Y21" s="146">
        <v>502</v>
      </c>
      <c r="Z21" s="146">
        <v>253</v>
      </c>
      <c r="AA21" s="146">
        <v>249</v>
      </c>
      <c r="AB21" s="146">
        <v>515</v>
      </c>
      <c r="AC21" s="146">
        <v>263</v>
      </c>
      <c r="AD21" s="146">
        <v>252</v>
      </c>
      <c r="AE21" s="146">
        <v>525</v>
      </c>
      <c r="AF21" s="146">
        <v>244</v>
      </c>
      <c r="AG21" s="146">
        <v>281</v>
      </c>
      <c r="AJ21" s="134">
        <v>1962</v>
      </c>
      <c r="AK21" s="134">
        <v>64</v>
      </c>
      <c r="AL21" s="134">
        <v>2026</v>
      </c>
    </row>
    <row r="22" spans="1:38" ht="12">
      <c r="A22" s="144" t="s">
        <v>213</v>
      </c>
      <c r="B22" s="147">
        <v>435</v>
      </c>
      <c r="C22" s="147">
        <v>208</v>
      </c>
      <c r="D22" s="147">
        <v>227</v>
      </c>
      <c r="E22" s="148" t="s">
        <v>213</v>
      </c>
      <c r="F22" s="146">
        <v>410</v>
      </c>
      <c r="G22" s="146">
        <v>191</v>
      </c>
      <c r="H22" s="146">
        <v>219</v>
      </c>
      <c r="I22" s="148" t="s">
        <v>213</v>
      </c>
      <c r="J22" s="146">
        <v>369</v>
      </c>
      <c r="K22" s="146">
        <v>186</v>
      </c>
      <c r="L22" s="146">
        <v>183</v>
      </c>
      <c r="M22" s="146">
        <v>397</v>
      </c>
      <c r="N22" s="146">
        <v>166</v>
      </c>
      <c r="O22" s="146">
        <v>231</v>
      </c>
      <c r="P22" s="146">
        <v>391</v>
      </c>
      <c r="Q22" s="146">
        <v>169</v>
      </c>
      <c r="R22" s="146">
        <v>222</v>
      </c>
      <c r="S22" s="146">
        <v>465</v>
      </c>
      <c r="T22" s="146">
        <v>236</v>
      </c>
      <c r="U22" s="146">
        <v>229</v>
      </c>
      <c r="V22" s="146">
        <v>463</v>
      </c>
      <c r="W22" s="146">
        <v>221</v>
      </c>
      <c r="X22" s="146">
        <v>242</v>
      </c>
      <c r="Y22" s="146">
        <v>424</v>
      </c>
      <c r="Z22" s="146">
        <v>190</v>
      </c>
      <c r="AA22" s="146">
        <v>234</v>
      </c>
      <c r="AB22" s="146">
        <v>502</v>
      </c>
      <c r="AC22" s="146">
        <v>253</v>
      </c>
      <c r="AD22" s="146">
        <v>249</v>
      </c>
      <c r="AE22" s="146">
        <v>515</v>
      </c>
      <c r="AF22" s="146">
        <v>263</v>
      </c>
      <c r="AG22" s="146">
        <v>252</v>
      </c>
      <c r="AJ22" s="134">
        <v>1963</v>
      </c>
      <c r="AK22" s="134">
        <v>65</v>
      </c>
      <c r="AL22" s="134">
        <v>2028</v>
      </c>
    </row>
    <row r="23" spans="1:33" ht="12">
      <c r="A23" s="144" t="s">
        <v>214</v>
      </c>
      <c r="B23" s="147">
        <v>359</v>
      </c>
      <c r="C23" s="147">
        <v>180</v>
      </c>
      <c r="D23" s="147">
        <v>179</v>
      </c>
      <c r="E23" s="148" t="s">
        <v>214</v>
      </c>
      <c r="F23" s="146">
        <v>422</v>
      </c>
      <c r="G23" s="146">
        <v>199</v>
      </c>
      <c r="H23" s="146">
        <v>223</v>
      </c>
      <c r="I23" s="148" t="s">
        <v>214</v>
      </c>
      <c r="J23" s="146">
        <v>406</v>
      </c>
      <c r="K23" s="146">
        <v>192</v>
      </c>
      <c r="L23" s="146">
        <v>214</v>
      </c>
      <c r="M23" s="146">
        <v>369</v>
      </c>
      <c r="N23" s="146">
        <v>186</v>
      </c>
      <c r="O23" s="146">
        <v>183</v>
      </c>
      <c r="P23" s="146">
        <v>397</v>
      </c>
      <c r="Q23" s="146">
        <v>166</v>
      </c>
      <c r="R23" s="146">
        <v>231</v>
      </c>
      <c r="S23" s="146">
        <v>391</v>
      </c>
      <c r="T23" s="146">
        <v>169</v>
      </c>
      <c r="U23" s="146">
        <v>222</v>
      </c>
      <c r="V23" s="146">
        <v>465</v>
      </c>
      <c r="W23" s="146">
        <v>236</v>
      </c>
      <c r="X23" s="146">
        <v>229</v>
      </c>
      <c r="Y23" s="146">
        <v>463</v>
      </c>
      <c r="Z23" s="146">
        <v>221</v>
      </c>
      <c r="AA23" s="146">
        <v>242</v>
      </c>
      <c r="AB23" s="146">
        <v>424</v>
      </c>
      <c r="AC23" s="146">
        <v>190</v>
      </c>
      <c r="AD23" s="146">
        <v>234</v>
      </c>
      <c r="AE23" s="146">
        <v>502</v>
      </c>
      <c r="AF23" s="146">
        <v>253</v>
      </c>
      <c r="AG23" s="146">
        <v>249</v>
      </c>
    </row>
    <row r="24" spans="1:36" ht="12">
      <c r="A24" s="140" t="s">
        <v>215</v>
      </c>
      <c r="B24" s="141">
        <v>2018</v>
      </c>
      <c r="C24" s="141">
        <v>966</v>
      </c>
      <c r="D24" s="141">
        <v>1052</v>
      </c>
      <c r="E24" s="142" t="s">
        <v>215</v>
      </c>
      <c r="F24" s="143">
        <v>1997</v>
      </c>
      <c r="G24" s="143">
        <v>922</v>
      </c>
      <c r="H24" s="143">
        <v>1075</v>
      </c>
      <c r="I24" s="142" t="s">
        <v>215</v>
      </c>
      <c r="J24" s="143">
        <f>SUM(J19:J23)</f>
        <v>2028</v>
      </c>
      <c r="K24" s="143">
        <f>SUM(K19:K23)</f>
        <v>949</v>
      </c>
      <c r="L24" s="143">
        <f>SUM(L19:L23)</f>
        <v>1079</v>
      </c>
      <c r="M24" s="143">
        <f>SUM(M19:M23)</f>
        <v>2085</v>
      </c>
      <c r="N24" s="143"/>
      <c r="O24" s="143"/>
      <c r="P24" s="143">
        <f>SUM(P19:P23)</f>
        <v>2140</v>
      </c>
      <c r="Q24" s="143"/>
      <c r="R24" s="143"/>
      <c r="S24" s="143">
        <f>SUM(S19:S23)</f>
        <v>2245</v>
      </c>
      <c r="T24" s="143"/>
      <c r="U24" s="143"/>
      <c r="V24" s="143">
        <f>SUM(V19:V23)</f>
        <v>2369</v>
      </c>
      <c r="W24" s="143"/>
      <c r="X24" s="143"/>
      <c r="Y24" s="143">
        <f>SUM(Y19:Y23)</f>
        <v>2429</v>
      </c>
      <c r="Z24" s="143"/>
      <c r="AA24" s="143"/>
      <c r="AB24" s="143">
        <f>SUM(AB19:AB23)</f>
        <v>2477</v>
      </c>
      <c r="AC24" s="143"/>
      <c r="AD24" s="143"/>
      <c r="AE24" s="143">
        <f>SUM(AE19:AE23)</f>
        <v>2604</v>
      </c>
      <c r="AF24" s="143"/>
      <c r="AG24" s="143"/>
      <c r="AJ24" s="135" t="s">
        <v>337</v>
      </c>
    </row>
    <row r="25" spans="1:33" ht="12">
      <c r="A25" s="144" t="s">
        <v>216</v>
      </c>
      <c r="B25" s="147">
        <v>332</v>
      </c>
      <c r="C25" s="147">
        <v>174</v>
      </c>
      <c r="D25" s="147">
        <v>158</v>
      </c>
      <c r="E25" s="148" t="s">
        <v>216</v>
      </c>
      <c r="F25" s="146">
        <v>341</v>
      </c>
      <c r="G25" s="146">
        <v>170</v>
      </c>
      <c r="H25" s="146">
        <v>171</v>
      </c>
      <c r="I25" s="148" t="s">
        <v>216</v>
      </c>
      <c r="J25" s="146">
        <v>416</v>
      </c>
      <c r="K25" s="146">
        <v>192</v>
      </c>
      <c r="L25" s="146">
        <v>224</v>
      </c>
      <c r="M25" s="146">
        <v>406</v>
      </c>
      <c r="N25" s="149">
        <v>192</v>
      </c>
      <c r="O25" s="149">
        <v>214</v>
      </c>
      <c r="P25" s="146">
        <v>369</v>
      </c>
      <c r="Q25" s="149">
        <v>186</v>
      </c>
      <c r="R25" s="149">
        <v>183</v>
      </c>
      <c r="S25" s="146">
        <v>397</v>
      </c>
      <c r="T25" s="149">
        <v>166</v>
      </c>
      <c r="U25" s="149">
        <v>231</v>
      </c>
      <c r="V25" s="146">
        <v>391</v>
      </c>
      <c r="W25" s="149">
        <v>169</v>
      </c>
      <c r="X25" s="149">
        <v>222</v>
      </c>
      <c r="Y25" s="146">
        <v>465</v>
      </c>
      <c r="Z25" s="149">
        <v>236</v>
      </c>
      <c r="AA25" s="149">
        <v>229</v>
      </c>
      <c r="AB25" s="146">
        <v>463</v>
      </c>
      <c r="AC25" s="149">
        <v>221</v>
      </c>
      <c r="AD25" s="149">
        <v>242</v>
      </c>
      <c r="AE25" s="146">
        <v>424</v>
      </c>
      <c r="AF25" s="149">
        <v>190</v>
      </c>
      <c r="AG25" s="149">
        <v>234</v>
      </c>
    </row>
    <row r="26" spans="1:33" ht="12">
      <c r="A26" s="144" t="s">
        <v>217</v>
      </c>
      <c r="B26" s="147">
        <v>285</v>
      </c>
      <c r="C26" s="147">
        <v>125</v>
      </c>
      <c r="D26" s="147">
        <v>160</v>
      </c>
      <c r="E26" s="148" t="s">
        <v>217</v>
      </c>
      <c r="F26" s="146">
        <v>295</v>
      </c>
      <c r="G26" s="146">
        <v>145</v>
      </c>
      <c r="H26" s="146">
        <v>150</v>
      </c>
      <c r="I26" s="148" t="s">
        <v>217</v>
      </c>
      <c r="J26" s="146">
        <v>329</v>
      </c>
      <c r="K26" s="146">
        <v>162</v>
      </c>
      <c r="L26" s="146">
        <v>167</v>
      </c>
      <c r="M26" s="146">
        <v>416</v>
      </c>
      <c r="N26" s="149">
        <v>192</v>
      </c>
      <c r="O26" s="149">
        <v>224</v>
      </c>
      <c r="P26" s="146">
        <v>406</v>
      </c>
      <c r="Q26" s="149">
        <v>192</v>
      </c>
      <c r="R26" s="149">
        <v>214</v>
      </c>
      <c r="S26" s="146">
        <v>369</v>
      </c>
      <c r="T26" s="149">
        <v>186</v>
      </c>
      <c r="U26" s="149">
        <v>183</v>
      </c>
      <c r="V26" s="146">
        <v>397</v>
      </c>
      <c r="W26" s="149">
        <v>166</v>
      </c>
      <c r="X26" s="149">
        <v>231</v>
      </c>
      <c r="Y26" s="146">
        <v>391</v>
      </c>
      <c r="Z26" s="149">
        <v>169</v>
      </c>
      <c r="AA26" s="149">
        <v>222</v>
      </c>
      <c r="AB26" s="146">
        <v>465</v>
      </c>
      <c r="AC26" s="149">
        <v>236</v>
      </c>
      <c r="AD26" s="149">
        <v>229</v>
      </c>
      <c r="AE26" s="146">
        <v>463</v>
      </c>
      <c r="AF26" s="149">
        <v>221</v>
      </c>
      <c r="AG26" s="149">
        <v>242</v>
      </c>
    </row>
    <row r="27" spans="1:33" ht="12">
      <c r="A27" s="144" t="s">
        <v>218</v>
      </c>
      <c r="B27" s="147">
        <v>284</v>
      </c>
      <c r="C27" s="147">
        <v>122</v>
      </c>
      <c r="D27" s="147">
        <v>162</v>
      </c>
      <c r="E27" s="148" t="s">
        <v>218</v>
      </c>
      <c r="F27" s="146">
        <v>260</v>
      </c>
      <c r="G27" s="146">
        <v>114</v>
      </c>
      <c r="H27" s="146">
        <v>146</v>
      </c>
      <c r="I27" s="148" t="s">
        <v>218</v>
      </c>
      <c r="J27" s="146">
        <v>287</v>
      </c>
      <c r="K27" s="146">
        <v>140</v>
      </c>
      <c r="L27" s="146">
        <v>147</v>
      </c>
      <c r="M27" s="146">
        <v>329</v>
      </c>
      <c r="N27" s="149">
        <v>162</v>
      </c>
      <c r="O27" s="149">
        <v>167</v>
      </c>
      <c r="P27" s="146">
        <v>416</v>
      </c>
      <c r="Q27" s="149">
        <v>192</v>
      </c>
      <c r="R27" s="149">
        <v>224</v>
      </c>
      <c r="S27" s="146">
        <v>406</v>
      </c>
      <c r="T27" s="149">
        <v>192</v>
      </c>
      <c r="U27" s="149">
        <v>214</v>
      </c>
      <c r="V27" s="146">
        <v>369</v>
      </c>
      <c r="W27" s="149">
        <v>186</v>
      </c>
      <c r="X27" s="149">
        <v>183</v>
      </c>
      <c r="Y27" s="146">
        <v>397</v>
      </c>
      <c r="Z27" s="149">
        <v>166</v>
      </c>
      <c r="AA27" s="149">
        <v>231</v>
      </c>
      <c r="AB27" s="146">
        <v>391</v>
      </c>
      <c r="AC27" s="149">
        <v>169</v>
      </c>
      <c r="AD27" s="149">
        <v>222</v>
      </c>
      <c r="AE27" s="146">
        <v>465</v>
      </c>
      <c r="AF27" s="149">
        <v>236</v>
      </c>
      <c r="AG27" s="149">
        <v>229</v>
      </c>
    </row>
    <row r="28" spans="1:33" ht="12">
      <c r="A28" s="144" t="s">
        <v>219</v>
      </c>
      <c r="B28" s="147">
        <v>553</v>
      </c>
      <c r="C28" s="147">
        <v>403</v>
      </c>
      <c r="D28" s="147">
        <v>150</v>
      </c>
      <c r="E28" s="148" t="s">
        <v>219</v>
      </c>
      <c r="F28" s="146">
        <v>538</v>
      </c>
      <c r="G28" s="146">
        <v>392</v>
      </c>
      <c r="H28" s="146">
        <v>146</v>
      </c>
      <c r="I28" s="148" t="s">
        <v>219</v>
      </c>
      <c r="J28" s="146">
        <v>498</v>
      </c>
      <c r="K28" s="146">
        <v>359</v>
      </c>
      <c r="L28" s="146">
        <v>139</v>
      </c>
      <c r="M28" s="146">
        <v>287</v>
      </c>
      <c r="N28" s="149">
        <v>140</v>
      </c>
      <c r="O28" s="149">
        <v>147</v>
      </c>
      <c r="P28" s="146">
        <v>329</v>
      </c>
      <c r="Q28" s="149">
        <v>162</v>
      </c>
      <c r="R28" s="149">
        <v>167</v>
      </c>
      <c r="S28" s="146">
        <v>416</v>
      </c>
      <c r="T28" s="149">
        <v>192</v>
      </c>
      <c r="U28" s="149">
        <v>224</v>
      </c>
      <c r="V28" s="146">
        <v>406</v>
      </c>
      <c r="W28" s="149">
        <v>192</v>
      </c>
      <c r="X28" s="149">
        <v>214</v>
      </c>
      <c r="Y28" s="146">
        <v>369</v>
      </c>
      <c r="Z28" s="149">
        <v>186</v>
      </c>
      <c r="AA28" s="149">
        <v>183</v>
      </c>
      <c r="AB28" s="146">
        <v>397</v>
      </c>
      <c r="AC28" s="149">
        <v>166</v>
      </c>
      <c r="AD28" s="149">
        <v>231</v>
      </c>
      <c r="AE28" s="146">
        <v>391</v>
      </c>
      <c r="AF28" s="149">
        <v>169</v>
      </c>
      <c r="AG28" s="149">
        <v>222</v>
      </c>
    </row>
    <row r="29" spans="1:33" ht="12">
      <c r="A29" s="144" t="s">
        <v>220</v>
      </c>
      <c r="B29" s="147">
        <v>731</v>
      </c>
      <c r="C29" s="147">
        <v>592</v>
      </c>
      <c r="D29" s="147">
        <v>139</v>
      </c>
      <c r="E29" s="148" t="s">
        <v>220</v>
      </c>
      <c r="F29" s="146">
        <v>673</v>
      </c>
      <c r="G29" s="146">
        <v>523</v>
      </c>
      <c r="H29" s="146">
        <v>150</v>
      </c>
      <c r="I29" s="148" t="s">
        <v>220</v>
      </c>
      <c r="J29" s="146">
        <v>684</v>
      </c>
      <c r="K29" s="146">
        <v>531</v>
      </c>
      <c r="L29" s="146">
        <v>153</v>
      </c>
      <c r="M29" s="146">
        <v>498</v>
      </c>
      <c r="N29" s="149">
        <v>359</v>
      </c>
      <c r="O29" s="149">
        <v>139</v>
      </c>
      <c r="P29" s="146">
        <v>287</v>
      </c>
      <c r="Q29" s="149">
        <v>140</v>
      </c>
      <c r="R29" s="149">
        <v>147</v>
      </c>
      <c r="S29" s="146">
        <v>329</v>
      </c>
      <c r="T29" s="149">
        <v>162</v>
      </c>
      <c r="U29" s="149">
        <v>167</v>
      </c>
      <c r="V29" s="146">
        <v>416</v>
      </c>
      <c r="W29" s="149">
        <v>192</v>
      </c>
      <c r="X29" s="149">
        <v>224</v>
      </c>
      <c r="Y29" s="146">
        <v>406</v>
      </c>
      <c r="Z29" s="149">
        <v>192</v>
      </c>
      <c r="AA29" s="149">
        <v>214</v>
      </c>
      <c r="AB29" s="146">
        <v>369</v>
      </c>
      <c r="AC29" s="149">
        <v>186</v>
      </c>
      <c r="AD29" s="149">
        <v>183</v>
      </c>
      <c r="AE29" s="146">
        <v>397</v>
      </c>
      <c r="AF29" s="149">
        <v>166</v>
      </c>
      <c r="AG29" s="149">
        <v>231</v>
      </c>
    </row>
    <row r="30" spans="1:12" ht="12">
      <c r="A30" s="140" t="s">
        <v>221</v>
      </c>
      <c r="B30" s="141">
        <v>2185</v>
      </c>
      <c r="C30" s="141">
        <v>1416</v>
      </c>
      <c r="D30" s="141">
        <v>769</v>
      </c>
      <c r="E30" s="142" t="s">
        <v>221</v>
      </c>
      <c r="F30" s="143">
        <v>2107</v>
      </c>
      <c r="G30" s="143">
        <v>1344</v>
      </c>
      <c r="H30" s="143">
        <v>763</v>
      </c>
      <c r="I30" s="142" t="s">
        <v>221</v>
      </c>
      <c r="J30" s="143">
        <v>2214</v>
      </c>
      <c r="K30" s="143">
        <v>1384</v>
      </c>
      <c r="L30" s="143">
        <v>830</v>
      </c>
    </row>
    <row r="31" spans="1:33" ht="12">
      <c r="A31" s="144" t="s">
        <v>222</v>
      </c>
      <c r="B31" s="147">
        <v>851</v>
      </c>
      <c r="C31" s="147">
        <v>688</v>
      </c>
      <c r="D31" s="147">
        <v>163</v>
      </c>
      <c r="E31" s="148" t="s">
        <v>222</v>
      </c>
      <c r="F31" s="146">
        <v>831</v>
      </c>
      <c r="G31" s="146">
        <v>692</v>
      </c>
      <c r="H31" s="146">
        <v>139</v>
      </c>
      <c r="I31" s="148" t="s">
        <v>222</v>
      </c>
      <c r="J31" s="146">
        <v>839</v>
      </c>
      <c r="K31" s="146">
        <v>686</v>
      </c>
      <c r="L31" s="146">
        <v>153</v>
      </c>
      <c r="M31" s="146">
        <v>684</v>
      </c>
      <c r="N31" s="149">
        <v>531</v>
      </c>
      <c r="O31" s="149">
        <v>153</v>
      </c>
      <c r="P31" s="146">
        <v>498</v>
      </c>
      <c r="Q31" s="149">
        <v>359</v>
      </c>
      <c r="R31" s="149">
        <v>139</v>
      </c>
      <c r="S31" s="146">
        <v>287</v>
      </c>
      <c r="T31" s="149">
        <v>140</v>
      </c>
      <c r="U31" s="149">
        <v>147</v>
      </c>
      <c r="V31" s="146">
        <v>329</v>
      </c>
      <c r="W31" s="149">
        <v>162</v>
      </c>
      <c r="X31" s="149">
        <v>167</v>
      </c>
      <c r="Y31" s="146">
        <v>416</v>
      </c>
      <c r="Z31" s="149">
        <v>192</v>
      </c>
      <c r="AA31" s="149">
        <v>224</v>
      </c>
      <c r="AB31" s="146">
        <v>406</v>
      </c>
      <c r="AC31" s="149">
        <v>192</v>
      </c>
      <c r="AD31" s="149">
        <v>214</v>
      </c>
      <c r="AE31" s="146">
        <v>369</v>
      </c>
      <c r="AF31" s="149">
        <v>186</v>
      </c>
      <c r="AG31" s="149">
        <v>183</v>
      </c>
    </row>
    <row r="32" spans="1:33" ht="12">
      <c r="A32" s="144" t="s">
        <v>223</v>
      </c>
      <c r="B32" s="147">
        <v>777</v>
      </c>
      <c r="C32" s="147">
        <v>628</v>
      </c>
      <c r="D32" s="147">
        <v>149</v>
      </c>
      <c r="E32" s="148" t="s">
        <v>223</v>
      </c>
      <c r="F32" s="146">
        <v>756</v>
      </c>
      <c r="G32" s="146">
        <v>595</v>
      </c>
      <c r="H32" s="146">
        <v>161</v>
      </c>
      <c r="I32" s="148" t="s">
        <v>223</v>
      </c>
      <c r="J32" s="146">
        <v>768</v>
      </c>
      <c r="K32" s="146">
        <v>620</v>
      </c>
      <c r="L32" s="146">
        <v>148</v>
      </c>
      <c r="M32" s="146">
        <v>839</v>
      </c>
      <c r="N32" s="149">
        <v>686</v>
      </c>
      <c r="O32" s="149">
        <v>153</v>
      </c>
      <c r="P32" s="146">
        <v>684</v>
      </c>
      <c r="Q32" s="149">
        <v>531</v>
      </c>
      <c r="R32" s="149">
        <v>153</v>
      </c>
      <c r="S32" s="146">
        <v>498</v>
      </c>
      <c r="T32" s="149">
        <v>359</v>
      </c>
      <c r="U32" s="149">
        <v>139</v>
      </c>
      <c r="V32" s="146">
        <v>287</v>
      </c>
      <c r="W32" s="149">
        <v>140</v>
      </c>
      <c r="X32" s="149">
        <v>147</v>
      </c>
      <c r="Y32" s="146">
        <v>329</v>
      </c>
      <c r="Z32" s="149">
        <v>162</v>
      </c>
      <c r="AA32" s="149">
        <v>167</v>
      </c>
      <c r="AB32" s="146">
        <v>416</v>
      </c>
      <c r="AC32" s="149">
        <v>192</v>
      </c>
      <c r="AD32" s="149">
        <v>224</v>
      </c>
      <c r="AE32" s="146">
        <v>406</v>
      </c>
      <c r="AF32" s="149">
        <v>192</v>
      </c>
      <c r="AG32" s="149">
        <v>214</v>
      </c>
    </row>
    <row r="33" spans="1:33" ht="12">
      <c r="A33" s="144" t="s">
        <v>224</v>
      </c>
      <c r="B33" s="147">
        <v>421</v>
      </c>
      <c r="C33" s="147">
        <v>298</v>
      </c>
      <c r="D33" s="147">
        <v>123</v>
      </c>
      <c r="E33" s="148" t="s">
        <v>224</v>
      </c>
      <c r="F33" s="146">
        <v>804</v>
      </c>
      <c r="G33" s="146">
        <v>652</v>
      </c>
      <c r="H33" s="146">
        <v>152</v>
      </c>
      <c r="I33" s="148" t="s">
        <v>224</v>
      </c>
      <c r="J33" s="146">
        <v>780</v>
      </c>
      <c r="K33" s="146">
        <v>600</v>
      </c>
      <c r="L33" s="146">
        <v>180</v>
      </c>
      <c r="M33" s="146">
        <v>768</v>
      </c>
      <c r="N33" s="149">
        <v>620</v>
      </c>
      <c r="O33" s="149">
        <v>148</v>
      </c>
      <c r="P33" s="146">
        <v>839</v>
      </c>
      <c r="Q33" s="149">
        <v>686</v>
      </c>
      <c r="R33" s="149">
        <v>153</v>
      </c>
      <c r="S33" s="146">
        <v>684</v>
      </c>
      <c r="T33" s="149">
        <v>531</v>
      </c>
      <c r="U33" s="149">
        <v>153</v>
      </c>
      <c r="V33" s="146">
        <v>498</v>
      </c>
      <c r="W33" s="149">
        <v>359</v>
      </c>
      <c r="X33" s="149">
        <v>139</v>
      </c>
      <c r="Y33" s="146">
        <v>287</v>
      </c>
      <c r="Z33" s="149">
        <v>140</v>
      </c>
      <c r="AA33" s="149">
        <v>147</v>
      </c>
      <c r="AB33" s="146">
        <v>329</v>
      </c>
      <c r="AC33" s="149">
        <v>162</v>
      </c>
      <c r="AD33" s="149">
        <v>167</v>
      </c>
      <c r="AE33" s="146">
        <v>416</v>
      </c>
      <c r="AF33" s="149">
        <v>192</v>
      </c>
      <c r="AG33" s="149">
        <v>224</v>
      </c>
    </row>
    <row r="34" spans="1:33" ht="12">
      <c r="A34" s="144" t="s">
        <v>225</v>
      </c>
      <c r="B34" s="147">
        <v>689</v>
      </c>
      <c r="C34" s="147">
        <v>526</v>
      </c>
      <c r="D34" s="147">
        <v>163</v>
      </c>
      <c r="E34" s="148" t="s">
        <v>225</v>
      </c>
      <c r="F34" s="146">
        <v>415</v>
      </c>
      <c r="G34" s="146">
        <v>288</v>
      </c>
      <c r="H34" s="146">
        <v>127</v>
      </c>
      <c r="I34" s="148" t="s">
        <v>225</v>
      </c>
      <c r="J34" s="146">
        <v>836</v>
      </c>
      <c r="K34" s="146">
        <v>675</v>
      </c>
      <c r="L34" s="146">
        <v>161</v>
      </c>
      <c r="M34" s="146">
        <v>780</v>
      </c>
      <c r="N34" s="149">
        <v>600</v>
      </c>
      <c r="O34" s="149">
        <v>180</v>
      </c>
      <c r="P34" s="146">
        <v>768</v>
      </c>
      <c r="Q34" s="149">
        <v>620</v>
      </c>
      <c r="R34" s="149">
        <v>148</v>
      </c>
      <c r="S34" s="146">
        <v>839</v>
      </c>
      <c r="T34" s="149">
        <v>686</v>
      </c>
      <c r="U34" s="149">
        <v>153</v>
      </c>
      <c r="V34" s="146">
        <v>684</v>
      </c>
      <c r="W34" s="149">
        <v>531</v>
      </c>
      <c r="X34" s="149">
        <v>153</v>
      </c>
      <c r="Y34" s="146">
        <v>498</v>
      </c>
      <c r="Z34" s="149">
        <v>359</v>
      </c>
      <c r="AA34" s="149">
        <v>139</v>
      </c>
      <c r="AB34" s="146">
        <v>287</v>
      </c>
      <c r="AC34" s="149">
        <v>140</v>
      </c>
      <c r="AD34" s="149">
        <v>147</v>
      </c>
      <c r="AE34" s="146">
        <v>329</v>
      </c>
      <c r="AF34" s="149">
        <v>162</v>
      </c>
      <c r="AG34" s="149">
        <v>167</v>
      </c>
    </row>
    <row r="35" spans="1:33" ht="12">
      <c r="A35" s="144" t="s">
        <v>226</v>
      </c>
      <c r="B35" s="147">
        <v>785</v>
      </c>
      <c r="C35" s="147">
        <v>591</v>
      </c>
      <c r="D35" s="147">
        <v>194</v>
      </c>
      <c r="E35" s="148" t="s">
        <v>226</v>
      </c>
      <c r="F35" s="146">
        <v>656</v>
      </c>
      <c r="G35" s="146">
        <v>512</v>
      </c>
      <c r="H35" s="146">
        <v>144</v>
      </c>
      <c r="I35" s="148" t="s">
        <v>226</v>
      </c>
      <c r="J35" s="146">
        <v>428</v>
      </c>
      <c r="K35" s="146">
        <v>293</v>
      </c>
      <c r="L35" s="146">
        <v>135</v>
      </c>
      <c r="M35" s="146">
        <v>836</v>
      </c>
      <c r="N35" s="149">
        <v>675</v>
      </c>
      <c r="O35" s="149">
        <v>161</v>
      </c>
      <c r="P35" s="146">
        <v>780</v>
      </c>
      <c r="Q35" s="149">
        <v>600</v>
      </c>
      <c r="R35" s="149">
        <v>180</v>
      </c>
      <c r="S35" s="146">
        <v>768</v>
      </c>
      <c r="T35" s="149">
        <v>620</v>
      </c>
      <c r="U35" s="149">
        <v>148</v>
      </c>
      <c r="V35" s="146">
        <v>839</v>
      </c>
      <c r="W35" s="149">
        <v>686</v>
      </c>
      <c r="X35" s="149">
        <v>153</v>
      </c>
      <c r="Y35" s="146">
        <v>684</v>
      </c>
      <c r="Z35" s="149">
        <v>531</v>
      </c>
      <c r="AA35" s="149">
        <v>153</v>
      </c>
      <c r="AB35" s="146">
        <v>498</v>
      </c>
      <c r="AC35" s="149">
        <v>359</v>
      </c>
      <c r="AD35" s="149">
        <v>139</v>
      </c>
      <c r="AE35" s="146">
        <v>287</v>
      </c>
      <c r="AF35" s="149">
        <v>140</v>
      </c>
      <c r="AG35" s="149">
        <v>147</v>
      </c>
    </row>
    <row r="36" spans="1:12" ht="12">
      <c r="A36" s="140" t="s">
        <v>227</v>
      </c>
      <c r="B36" s="141">
        <v>3523</v>
      </c>
      <c r="C36" s="141">
        <v>2731</v>
      </c>
      <c r="D36" s="141">
        <v>792</v>
      </c>
      <c r="E36" s="142" t="s">
        <v>227</v>
      </c>
      <c r="F36" s="143">
        <v>3462</v>
      </c>
      <c r="G36" s="143">
        <v>2739</v>
      </c>
      <c r="H36" s="143">
        <v>723</v>
      </c>
      <c r="I36" s="142" t="s">
        <v>227</v>
      </c>
      <c r="J36" s="143">
        <v>3651</v>
      </c>
      <c r="K36" s="143">
        <v>2874</v>
      </c>
      <c r="L36" s="143">
        <v>777</v>
      </c>
    </row>
    <row r="37" spans="1:33" ht="12">
      <c r="A37" s="144" t="s">
        <v>228</v>
      </c>
      <c r="B37" s="147">
        <v>909</v>
      </c>
      <c r="C37" s="147">
        <v>677</v>
      </c>
      <c r="D37" s="147">
        <v>232</v>
      </c>
      <c r="E37" s="148" t="s">
        <v>228</v>
      </c>
      <c r="F37" s="146">
        <v>799</v>
      </c>
      <c r="G37" s="146">
        <v>621</v>
      </c>
      <c r="H37" s="146">
        <v>178</v>
      </c>
      <c r="I37" s="148" t="s">
        <v>228</v>
      </c>
      <c r="J37" s="146">
        <v>712</v>
      </c>
      <c r="K37" s="146">
        <v>562</v>
      </c>
      <c r="L37" s="146">
        <v>150</v>
      </c>
      <c r="M37" s="146">
        <v>428</v>
      </c>
      <c r="N37" s="149">
        <v>293</v>
      </c>
      <c r="O37" s="149">
        <v>135</v>
      </c>
      <c r="P37" s="146">
        <v>836</v>
      </c>
      <c r="Q37" s="149">
        <v>675</v>
      </c>
      <c r="R37" s="149">
        <v>161</v>
      </c>
      <c r="S37" s="146">
        <v>780</v>
      </c>
      <c r="T37" s="149">
        <v>600</v>
      </c>
      <c r="U37" s="149">
        <v>180</v>
      </c>
      <c r="V37" s="146">
        <v>768</v>
      </c>
      <c r="W37" s="149">
        <v>620</v>
      </c>
      <c r="X37" s="149">
        <v>148</v>
      </c>
      <c r="Y37" s="146">
        <v>839</v>
      </c>
      <c r="Z37" s="149">
        <v>686</v>
      </c>
      <c r="AA37" s="149">
        <v>153</v>
      </c>
      <c r="AB37" s="146">
        <v>684</v>
      </c>
      <c r="AC37" s="149">
        <v>531</v>
      </c>
      <c r="AD37" s="149">
        <v>153</v>
      </c>
      <c r="AE37" s="146">
        <v>498</v>
      </c>
      <c r="AF37" s="149">
        <v>359</v>
      </c>
      <c r="AG37" s="149">
        <v>139</v>
      </c>
    </row>
    <row r="38" spans="1:33" ht="12">
      <c r="A38" s="144" t="s">
        <v>229</v>
      </c>
      <c r="B38" s="147">
        <v>963</v>
      </c>
      <c r="C38" s="147">
        <v>694</v>
      </c>
      <c r="D38" s="147">
        <v>269</v>
      </c>
      <c r="E38" s="148" t="s">
        <v>229</v>
      </c>
      <c r="F38" s="146">
        <v>879</v>
      </c>
      <c r="G38" s="146">
        <v>651</v>
      </c>
      <c r="H38" s="146">
        <v>228</v>
      </c>
      <c r="I38" s="148" t="s">
        <v>229</v>
      </c>
      <c r="J38" s="146">
        <v>810</v>
      </c>
      <c r="K38" s="146">
        <v>621</v>
      </c>
      <c r="L38" s="146">
        <v>189</v>
      </c>
      <c r="M38" s="146">
        <v>712</v>
      </c>
      <c r="N38" s="149">
        <v>562</v>
      </c>
      <c r="O38" s="149">
        <v>150</v>
      </c>
      <c r="P38" s="146">
        <v>428</v>
      </c>
      <c r="Q38" s="149">
        <v>293</v>
      </c>
      <c r="R38" s="149">
        <v>135</v>
      </c>
      <c r="S38" s="146">
        <v>836</v>
      </c>
      <c r="T38" s="149">
        <v>675</v>
      </c>
      <c r="U38" s="149">
        <v>161</v>
      </c>
      <c r="V38" s="146">
        <v>780</v>
      </c>
      <c r="W38" s="149">
        <v>600</v>
      </c>
      <c r="X38" s="149">
        <v>180</v>
      </c>
      <c r="Y38" s="146">
        <v>768</v>
      </c>
      <c r="Z38" s="149">
        <v>620</v>
      </c>
      <c r="AA38" s="149">
        <v>148</v>
      </c>
      <c r="AB38" s="146">
        <v>839</v>
      </c>
      <c r="AC38" s="149">
        <v>686</v>
      </c>
      <c r="AD38" s="149">
        <v>153</v>
      </c>
      <c r="AE38" s="146">
        <v>684</v>
      </c>
      <c r="AF38" s="149">
        <v>531</v>
      </c>
      <c r="AG38" s="149">
        <v>153</v>
      </c>
    </row>
    <row r="39" spans="1:33" ht="12">
      <c r="A39" s="144" t="s">
        <v>230</v>
      </c>
      <c r="B39" s="147">
        <v>855</v>
      </c>
      <c r="C39" s="147">
        <v>563</v>
      </c>
      <c r="D39" s="147">
        <v>292</v>
      </c>
      <c r="E39" s="148" t="s">
        <v>230</v>
      </c>
      <c r="F39" s="146">
        <v>915</v>
      </c>
      <c r="G39" s="146">
        <v>656</v>
      </c>
      <c r="H39" s="146">
        <v>259</v>
      </c>
      <c r="I39" s="148" t="s">
        <v>230</v>
      </c>
      <c r="J39" s="146">
        <v>874</v>
      </c>
      <c r="K39" s="146">
        <v>645</v>
      </c>
      <c r="L39" s="146">
        <v>229</v>
      </c>
      <c r="M39" s="146">
        <v>810</v>
      </c>
      <c r="N39" s="149">
        <v>621</v>
      </c>
      <c r="O39" s="149">
        <v>189</v>
      </c>
      <c r="P39" s="146">
        <v>712</v>
      </c>
      <c r="Q39" s="149">
        <v>562</v>
      </c>
      <c r="R39" s="149">
        <v>150</v>
      </c>
      <c r="S39" s="146">
        <v>428</v>
      </c>
      <c r="T39" s="149">
        <v>293</v>
      </c>
      <c r="U39" s="149">
        <v>135</v>
      </c>
      <c r="V39" s="146">
        <v>836</v>
      </c>
      <c r="W39" s="149">
        <v>675</v>
      </c>
      <c r="X39" s="149">
        <v>161</v>
      </c>
      <c r="Y39" s="146">
        <v>780</v>
      </c>
      <c r="Z39" s="149">
        <v>600</v>
      </c>
      <c r="AA39" s="149">
        <v>180</v>
      </c>
      <c r="AB39" s="146">
        <v>768</v>
      </c>
      <c r="AC39" s="149">
        <v>620</v>
      </c>
      <c r="AD39" s="149">
        <v>148</v>
      </c>
      <c r="AE39" s="146">
        <v>839</v>
      </c>
      <c r="AF39" s="149">
        <v>686</v>
      </c>
      <c r="AG39" s="149">
        <v>153</v>
      </c>
    </row>
    <row r="40" spans="1:33" ht="12">
      <c r="A40" s="144" t="s">
        <v>231</v>
      </c>
      <c r="B40" s="147">
        <v>842</v>
      </c>
      <c r="C40" s="147">
        <v>522</v>
      </c>
      <c r="D40" s="147">
        <v>320</v>
      </c>
      <c r="E40" s="148" t="s">
        <v>231</v>
      </c>
      <c r="F40" s="146">
        <v>821</v>
      </c>
      <c r="G40" s="146">
        <v>529</v>
      </c>
      <c r="H40" s="146">
        <v>292</v>
      </c>
      <c r="I40" s="148" t="s">
        <v>231</v>
      </c>
      <c r="J40" s="146">
        <v>912</v>
      </c>
      <c r="K40" s="146">
        <v>640</v>
      </c>
      <c r="L40" s="146">
        <v>272</v>
      </c>
      <c r="M40" s="146">
        <v>874</v>
      </c>
      <c r="N40" s="149">
        <v>645</v>
      </c>
      <c r="O40" s="149">
        <v>229</v>
      </c>
      <c r="P40" s="146">
        <v>810</v>
      </c>
      <c r="Q40" s="149">
        <v>621</v>
      </c>
      <c r="R40" s="149">
        <v>189</v>
      </c>
      <c r="S40" s="146">
        <v>712</v>
      </c>
      <c r="T40" s="149">
        <v>562</v>
      </c>
      <c r="U40" s="149">
        <v>150</v>
      </c>
      <c r="V40" s="146">
        <v>428</v>
      </c>
      <c r="W40" s="149">
        <v>293</v>
      </c>
      <c r="X40" s="149">
        <v>135</v>
      </c>
      <c r="Y40" s="146">
        <v>836</v>
      </c>
      <c r="Z40" s="149">
        <v>675</v>
      </c>
      <c r="AA40" s="149">
        <v>161</v>
      </c>
      <c r="AB40" s="146">
        <v>780</v>
      </c>
      <c r="AC40" s="149">
        <v>600</v>
      </c>
      <c r="AD40" s="149">
        <v>180</v>
      </c>
      <c r="AE40" s="146">
        <v>768</v>
      </c>
      <c r="AF40" s="149">
        <v>620</v>
      </c>
      <c r="AG40" s="149">
        <v>148</v>
      </c>
    </row>
    <row r="41" spans="1:33" ht="12">
      <c r="A41" s="144" t="s">
        <v>232</v>
      </c>
      <c r="B41" s="147">
        <v>649</v>
      </c>
      <c r="C41" s="147">
        <v>384</v>
      </c>
      <c r="D41" s="147">
        <v>265</v>
      </c>
      <c r="E41" s="148" t="s">
        <v>232</v>
      </c>
      <c r="F41" s="146">
        <v>813</v>
      </c>
      <c r="G41" s="146">
        <v>495</v>
      </c>
      <c r="H41" s="146">
        <v>318</v>
      </c>
      <c r="I41" s="148" t="s">
        <v>232</v>
      </c>
      <c r="J41" s="146">
        <v>810</v>
      </c>
      <c r="K41" s="146">
        <v>505</v>
      </c>
      <c r="L41" s="146">
        <v>305</v>
      </c>
      <c r="M41" s="146">
        <v>912</v>
      </c>
      <c r="N41" s="149">
        <v>640</v>
      </c>
      <c r="O41" s="149">
        <v>272</v>
      </c>
      <c r="P41" s="146">
        <v>874</v>
      </c>
      <c r="Q41" s="149">
        <v>645</v>
      </c>
      <c r="R41" s="149">
        <v>229</v>
      </c>
      <c r="S41" s="146">
        <v>810</v>
      </c>
      <c r="T41" s="149">
        <v>621</v>
      </c>
      <c r="U41" s="149">
        <v>189</v>
      </c>
      <c r="V41" s="146">
        <v>712</v>
      </c>
      <c r="W41" s="149">
        <v>562</v>
      </c>
      <c r="X41" s="149">
        <v>150</v>
      </c>
      <c r="Y41" s="146">
        <v>428</v>
      </c>
      <c r="Z41" s="149">
        <v>293</v>
      </c>
      <c r="AA41" s="149">
        <v>135</v>
      </c>
      <c r="AB41" s="146">
        <v>836</v>
      </c>
      <c r="AC41" s="149">
        <v>675</v>
      </c>
      <c r="AD41" s="149">
        <v>161</v>
      </c>
      <c r="AE41" s="146">
        <v>780</v>
      </c>
      <c r="AF41" s="149">
        <v>600</v>
      </c>
      <c r="AG41" s="149">
        <v>180</v>
      </c>
    </row>
    <row r="42" spans="1:12" ht="12">
      <c r="A42" s="140" t="s">
        <v>233</v>
      </c>
      <c r="B42" s="141">
        <v>4218</v>
      </c>
      <c r="C42" s="141">
        <v>2840</v>
      </c>
      <c r="D42" s="141">
        <v>1378</v>
      </c>
      <c r="E42" s="142" t="s">
        <v>233</v>
      </c>
      <c r="F42" s="143">
        <v>4227</v>
      </c>
      <c r="G42" s="143">
        <v>2952</v>
      </c>
      <c r="H42" s="143">
        <v>1275</v>
      </c>
      <c r="I42" s="142" t="s">
        <v>233</v>
      </c>
      <c r="J42" s="143">
        <v>4118</v>
      </c>
      <c r="K42" s="143">
        <v>2973</v>
      </c>
      <c r="L42" s="143">
        <v>1145</v>
      </c>
    </row>
    <row r="43" spans="1:33" ht="12">
      <c r="A43" s="144" t="s">
        <v>234</v>
      </c>
      <c r="B43" s="147">
        <v>623</v>
      </c>
      <c r="C43" s="147">
        <v>335</v>
      </c>
      <c r="D43" s="147">
        <v>288</v>
      </c>
      <c r="E43" s="148" t="s">
        <v>234</v>
      </c>
      <c r="F43" s="146">
        <v>604</v>
      </c>
      <c r="G43" s="146">
        <v>355</v>
      </c>
      <c r="H43" s="146">
        <v>249</v>
      </c>
      <c r="I43" s="148" t="s">
        <v>234</v>
      </c>
      <c r="J43" s="146">
        <v>820</v>
      </c>
      <c r="K43" s="146">
        <v>474</v>
      </c>
      <c r="L43" s="146">
        <v>346</v>
      </c>
      <c r="M43" s="146">
        <v>810</v>
      </c>
      <c r="N43" s="149">
        <v>505</v>
      </c>
      <c r="O43" s="149">
        <v>305</v>
      </c>
      <c r="P43" s="146">
        <v>912</v>
      </c>
      <c r="Q43" s="149">
        <v>640</v>
      </c>
      <c r="R43" s="149">
        <v>272</v>
      </c>
      <c r="S43" s="146">
        <v>874</v>
      </c>
      <c r="T43" s="149">
        <v>645</v>
      </c>
      <c r="U43" s="149">
        <v>229</v>
      </c>
      <c r="V43" s="146">
        <v>810</v>
      </c>
      <c r="W43" s="149">
        <v>621</v>
      </c>
      <c r="X43" s="149">
        <v>189</v>
      </c>
      <c r="Y43" s="146">
        <v>712</v>
      </c>
      <c r="Z43" s="149">
        <v>562</v>
      </c>
      <c r="AA43" s="149">
        <v>150</v>
      </c>
      <c r="AB43" s="146">
        <v>428</v>
      </c>
      <c r="AC43" s="149">
        <v>293</v>
      </c>
      <c r="AD43" s="149">
        <v>135</v>
      </c>
      <c r="AE43" s="146">
        <v>836</v>
      </c>
      <c r="AF43" s="149">
        <v>675</v>
      </c>
      <c r="AG43" s="149">
        <v>161</v>
      </c>
    </row>
    <row r="44" spans="1:33" ht="12">
      <c r="A44" s="144" t="s">
        <v>235</v>
      </c>
      <c r="B44" s="147">
        <v>541</v>
      </c>
      <c r="C44" s="147">
        <v>270</v>
      </c>
      <c r="D44" s="147">
        <v>271</v>
      </c>
      <c r="E44" s="148" t="s">
        <v>235</v>
      </c>
      <c r="F44" s="146">
        <v>594</v>
      </c>
      <c r="G44" s="146">
        <v>317</v>
      </c>
      <c r="H44" s="146">
        <v>277</v>
      </c>
      <c r="I44" s="148" t="s">
        <v>235</v>
      </c>
      <c r="J44" s="146">
        <v>622</v>
      </c>
      <c r="K44" s="146">
        <v>363</v>
      </c>
      <c r="L44" s="146">
        <v>259</v>
      </c>
      <c r="M44" s="146">
        <v>820</v>
      </c>
      <c r="N44" s="149">
        <v>474</v>
      </c>
      <c r="O44" s="149">
        <v>346</v>
      </c>
      <c r="P44" s="146">
        <v>810</v>
      </c>
      <c r="Q44" s="149">
        <v>505</v>
      </c>
      <c r="R44" s="149">
        <v>305</v>
      </c>
      <c r="S44" s="146">
        <v>912</v>
      </c>
      <c r="T44" s="149">
        <v>640</v>
      </c>
      <c r="U44" s="149">
        <v>272</v>
      </c>
      <c r="V44" s="146">
        <v>874</v>
      </c>
      <c r="W44" s="149">
        <v>645</v>
      </c>
      <c r="X44" s="149">
        <v>229</v>
      </c>
      <c r="Y44" s="146">
        <v>810</v>
      </c>
      <c r="Z44" s="149">
        <v>621</v>
      </c>
      <c r="AA44" s="149">
        <v>189</v>
      </c>
      <c r="AB44" s="146">
        <v>712</v>
      </c>
      <c r="AC44" s="149">
        <v>562</v>
      </c>
      <c r="AD44" s="149">
        <v>150</v>
      </c>
      <c r="AE44" s="146">
        <v>428</v>
      </c>
      <c r="AF44" s="149">
        <v>293</v>
      </c>
      <c r="AG44" s="149">
        <v>135</v>
      </c>
    </row>
    <row r="45" spans="1:33" ht="12">
      <c r="A45" s="144" t="s">
        <v>236</v>
      </c>
      <c r="B45" s="147">
        <v>590</v>
      </c>
      <c r="C45" s="147">
        <v>303</v>
      </c>
      <c r="D45" s="147">
        <v>287</v>
      </c>
      <c r="E45" s="148" t="s">
        <v>236</v>
      </c>
      <c r="F45" s="146">
        <v>533</v>
      </c>
      <c r="G45" s="146">
        <v>261</v>
      </c>
      <c r="H45" s="146">
        <v>272</v>
      </c>
      <c r="I45" s="148" t="s">
        <v>236</v>
      </c>
      <c r="J45" s="146">
        <v>587</v>
      </c>
      <c r="K45" s="146">
        <v>312</v>
      </c>
      <c r="L45" s="146">
        <v>275</v>
      </c>
      <c r="M45" s="146">
        <v>622</v>
      </c>
      <c r="N45" s="149">
        <v>363</v>
      </c>
      <c r="O45" s="149">
        <v>259</v>
      </c>
      <c r="P45" s="146">
        <v>820</v>
      </c>
      <c r="Q45" s="149">
        <v>474</v>
      </c>
      <c r="R45" s="149">
        <v>346</v>
      </c>
      <c r="S45" s="146">
        <v>810</v>
      </c>
      <c r="T45" s="149">
        <v>505</v>
      </c>
      <c r="U45" s="149">
        <v>305</v>
      </c>
      <c r="V45" s="146">
        <v>912</v>
      </c>
      <c r="W45" s="149">
        <v>640</v>
      </c>
      <c r="X45" s="149">
        <v>272</v>
      </c>
      <c r="Y45" s="146">
        <v>874</v>
      </c>
      <c r="Z45" s="149">
        <v>645</v>
      </c>
      <c r="AA45" s="149">
        <v>229</v>
      </c>
      <c r="AB45" s="146">
        <v>810</v>
      </c>
      <c r="AC45" s="149">
        <v>621</v>
      </c>
      <c r="AD45" s="149">
        <v>189</v>
      </c>
      <c r="AE45" s="146">
        <v>712</v>
      </c>
      <c r="AF45" s="149">
        <v>562</v>
      </c>
      <c r="AG45" s="149">
        <v>150</v>
      </c>
    </row>
    <row r="46" spans="1:33" ht="12">
      <c r="A46" s="144" t="s">
        <v>237</v>
      </c>
      <c r="B46" s="147">
        <v>544</v>
      </c>
      <c r="C46" s="147">
        <v>267</v>
      </c>
      <c r="D46" s="147">
        <v>277</v>
      </c>
      <c r="E46" s="148" t="s">
        <v>237</v>
      </c>
      <c r="F46" s="146">
        <v>557</v>
      </c>
      <c r="G46" s="146">
        <v>277</v>
      </c>
      <c r="H46" s="146">
        <v>280</v>
      </c>
      <c r="I46" s="148" t="s">
        <v>237</v>
      </c>
      <c r="J46" s="146">
        <v>529</v>
      </c>
      <c r="K46" s="146">
        <v>255</v>
      </c>
      <c r="L46" s="146">
        <v>274</v>
      </c>
      <c r="M46" s="146">
        <v>587</v>
      </c>
      <c r="N46" s="149">
        <v>312</v>
      </c>
      <c r="O46" s="149">
        <v>275</v>
      </c>
      <c r="P46" s="146">
        <v>622</v>
      </c>
      <c r="Q46" s="149">
        <v>363</v>
      </c>
      <c r="R46" s="149">
        <v>259</v>
      </c>
      <c r="S46" s="146">
        <v>820</v>
      </c>
      <c r="T46" s="149">
        <v>474</v>
      </c>
      <c r="U46" s="149">
        <v>346</v>
      </c>
      <c r="V46" s="146">
        <v>810</v>
      </c>
      <c r="W46" s="149">
        <v>505</v>
      </c>
      <c r="X46" s="149">
        <v>305</v>
      </c>
      <c r="Y46" s="146">
        <v>912</v>
      </c>
      <c r="Z46" s="149">
        <v>640</v>
      </c>
      <c r="AA46" s="149">
        <v>272</v>
      </c>
      <c r="AB46" s="146">
        <v>874</v>
      </c>
      <c r="AC46" s="149">
        <v>645</v>
      </c>
      <c r="AD46" s="149">
        <v>229</v>
      </c>
      <c r="AE46" s="146">
        <v>810</v>
      </c>
      <c r="AF46" s="149">
        <v>621</v>
      </c>
      <c r="AG46" s="149">
        <v>189</v>
      </c>
    </row>
    <row r="47" spans="1:33" ht="12">
      <c r="A47" s="144" t="s">
        <v>238</v>
      </c>
      <c r="B47" s="147">
        <v>563</v>
      </c>
      <c r="C47" s="147">
        <v>259</v>
      </c>
      <c r="D47" s="147">
        <v>304</v>
      </c>
      <c r="E47" s="148" t="s">
        <v>238</v>
      </c>
      <c r="F47" s="146">
        <v>530</v>
      </c>
      <c r="G47" s="146">
        <v>261</v>
      </c>
      <c r="H47" s="146">
        <v>269</v>
      </c>
      <c r="I47" s="148" t="s">
        <v>238</v>
      </c>
      <c r="J47" s="146">
        <v>570</v>
      </c>
      <c r="K47" s="146">
        <v>286</v>
      </c>
      <c r="L47" s="146">
        <v>284</v>
      </c>
      <c r="M47" s="146">
        <v>529</v>
      </c>
      <c r="N47" s="149">
        <v>255</v>
      </c>
      <c r="O47" s="149">
        <v>274</v>
      </c>
      <c r="P47" s="146">
        <v>587</v>
      </c>
      <c r="Q47" s="149">
        <v>312</v>
      </c>
      <c r="R47" s="149">
        <v>275</v>
      </c>
      <c r="S47" s="146">
        <v>622</v>
      </c>
      <c r="T47" s="149">
        <v>363</v>
      </c>
      <c r="U47" s="149">
        <v>259</v>
      </c>
      <c r="V47" s="146">
        <v>820</v>
      </c>
      <c r="W47" s="149">
        <v>474</v>
      </c>
      <c r="X47" s="149">
        <v>346</v>
      </c>
      <c r="Y47" s="146">
        <v>810</v>
      </c>
      <c r="Z47" s="149">
        <v>505</v>
      </c>
      <c r="AA47" s="149">
        <v>305</v>
      </c>
      <c r="AB47" s="146">
        <v>912</v>
      </c>
      <c r="AC47" s="149">
        <v>640</v>
      </c>
      <c r="AD47" s="149">
        <v>272</v>
      </c>
      <c r="AE47" s="146">
        <v>874</v>
      </c>
      <c r="AF47" s="149">
        <v>645</v>
      </c>
      <c r="AG47" s="149">
        <v>229</v>
      </c>
    </row>
    <row r="48" spans="1:12" ht="12">
      <c r="A48" s="140" t="s">
        <v>239</v>
      </c>
      <c r="B48" s="141">
        <v>2861</v>
      </c>
      <c r="C48" s="141">
        <v>1434</v>
      </c>
      <c r="D48" s="141">
        <v>1427</v>
      </c>
      <c r="E48" s="142" t="s">
        <v>239</v>
      </c>
      <c r="F48" s="143">
        <v>2818</v>
      </c>
      <c r="G48" s="143">
        <v>1471</v>
      </c>
      <c r="H48" s="143">
        <v>1347</v>
      </c>
      <c r="I48" s="142" t="s">
        <v>239</v>
      </c>
      <c r="J48" s="143">
        <v>3128</v>
      </c>
      <c r="K48" s="143">
        <v>1690</v>
      </c>
      <c r="L48" s="143">
        <v>1438</v>
      </c>
    </row>
    <row r="49" spans="1:33" ht="12">
      <c r="A49" s="144" t="s">
        <v>240</v>
      </c>
      <c r="B49" s="147">
        <v>576</v>
      </c>
      <c r="C49" s="147">
        <v>250</v>
      </c>
      <c r="D49" s="147">
        <v>326</v>
      </c>
      <c r="E49" s="148" t="s">
        <v>240</v>
      </c>
      <c r="F49" s="146">
        <v>538</v>
      </c>
      <c r="G49" s="146">
        <v>247</v>
      </c>
      <c r="H49" s="146">
        <v>291</v>
      </c>
      <c r="I49" s="148" t="s">
        <v>240</v>
      </c>
      <c r="J49" s="146">
        <v>549</v>
      </c>
      <c r="K49" s="146">
        <v>263</v>
      </c>
      <c r="L49" s="146">
        <v>286</v>
      </c>
      <c r="M49" s="146">
        <v>570</v>
      </c>
      <c r="N49" s="149">
        <v>286</v>
      </c>
      <c r="O49" s="149">
        <v>284</v>
      </c>
      <c r="P49" s="146">
        <v>529</v>
      </c>
      <c r="Q49" s="149">
        <v>255</v>
      </c>
      <c r="R49" s="149">
        <v>274</v>
      </c>
      <c r="S49" s="146">
        <v>587</v>
      </c>
      <c r="T49" s="149">
        <v>312</v>
      </c>
      <c r="U49" s="149">
        <v>275</v>
      </c>
      <c r="V49" s="146">
        <v>622</v>
      </c>
      <c r="W49" s="149">
        <v>363</v>
      </c>
      <c r="X49" s="149">
        <v>259</v>
      </c>
      <c r="Y49" s="146">
        <v>820</v>
      </c>
      <c r="Z49" s="149">
        <v>474</v>
      </c>
      <c r="AA49" s="149">
        <v>346</v>
      </c>
      <c r="AB49" s="146">
        <v>810</v>
      </c>
      <c r="AC49" s="149">
        <v>505</v>
      </c>
      <c r="AD49" s="149">
        <v>305</v>
      </c>
      <c r="AE49" s="146">
        <v>912</v>
      </c>
      <c r="AF49" s="149">
        <v>640</v>
      </c>
      <c r="AG49" s="149">
        <v>272</v>
      </c>
    </row>
    <row r="50" spans="1:33" ht="12">
      <c r="A50" s="144" t="s">
        <v>241</v>
      </c>
      <c r="B50" s="147">
        <v>578</v>
      </c>
      <c r="C50" s="147">
        <v>254</v>
      </c>
      <c r="D50" s="147">
        <v>324</v>
      </c>
      <c r="E50" s="148" t="s">
        <v>241</v>
      </c>
      <c r="F50" s="146">
        <v>539</v>
      </c>
      <c r="G50" s="146">
        <v>223</v>
      </c>
      <c r="H50" s="146">
        <v>316</v>
      </c>
      <c r="I50" s="148" t="s">
        <v>241</v>
      </c>
      <c r="J50" s="146">
        <v>533</v>
      </c>
      <c r="K50" s="146">
        <v>233</v>
      </c>
      <c r="L50" s="146">
        <v>300</v>
      </c>
      <c r="M50" s="146">
        <v>549</v>
      </c>
      <c r="N50" s="149">
        <v>263</v>
      </c>
      <c r="O50" s="149">
        <v>286</v>
      </c>
      <c r="P50" s="146">
        <v>570</v>
      </c>
      <c r="Q50" s="149">
        <v>286</v>
      </c>
      <c r="R50" s="149">
        <v>284</v>
      </c>
      <c r="S50" s="146">
        <v>529</v>
      </c>
      <c r="T50" s="149">
        <v>255</v>
      </c>
      <c r="U50" s="149">
        <v>274</v>
      </c>
      <c r="V50" s="146">
        <v>587</v>
      </c>
      <c r="W50" s="149">
        <v>312</v>
      </c>
      <c r="X50" s="149">
        <v>275</v>
      </c>
      <c r="Y50" s="146">
        <v>622</v>
      </c>
      <c r="Z50" s="149">
        <v>363</v>
      </c>
      <c r="AA50" s="149">
        <v>259</v>
      </c>
      <c r="AB50" s="146">
        <v>820</v>
      </c>
      <c r="AC50" s="149">
        <v>474</v>
      </c>
      <c r="AD50" s="149">
        <v>346</v>
      </c>
      <c r="AE50" s="146">
        <v>810</v>
      </c>
      <c r="AF50" s="149">
        <v>505</v>
      </c>
      <c r="AG50" s="149">
        <v>305</v>
      </c>
    </row>
    <row r="51" spans="1:33" ht="12">
      <c r="A51" s="144" t="s">
        <v>242</v>
      </c>
      <c r="B51" s="147">
        <v>569</v>
      </c>
      <c r="C51" s="147">
        <v>241</v>
      </c>
      <c r="D51" s="147">
        <v>328</v>
      </c>
      <c r="E51" s="148" t="s">
        <v>242</v>
      </c>
      <c r="F51" s="146">
        <v>568</v>
      </c>
      <c r="G51" s="146">
        <v>244</v>
      </c>
      <c r="H51" s="146">
        <v>324</v>
      </c>
      <c r="I51" s="148" t="s">
        <v>242</v>
      </c>
      <c r="J51" s="146">
        <v>530</v>
      </c>
      <c r="K51" s="146">
        <v>220</v>
      </c>
      <c r="L51" s="146">
        <v>310</v>
      </c>
      <c r="M51" s="146">
        <v>533</v>
      </c>
      <c r="N51" s="149">
        <v>233</v>
      </c>
      <c r="O51" s="149">
        <v>300</v>
      </c>
      <c r="P51" s="146">
        <v>549</v>
      </c>
      <c r="Q51" s="149">
        <v>263</v>
      </c>
      <c r="R51" s="149">
        <v>286</v>
      </c>
      <c r="S51" s="146">
        <v>570</v>
      </c>
      <c r="T51" s="149">
        <v>286</v>
      </c>
      <c r="U51" s="149">
        <v>284</v>
      </c>
      <c r="V51" s="146">
        <v>529</v>
      </c>
      <c r="W51" s="149">
        <v>255</v>
      </c>
      <c r="X51" s="149">
        <v>274</v>
      </c>
      <c r="Y51" s="146">
        <v>587</v>
      </c>
      <c r="Z51" s="149">
        <v>312</v>
      </c>
      <c r="AA51" s="149">
        <v>275</v>
      </c>
      <c r="AB51" s="146">
        <v>622</v>
      </c>
      <c r="AC51" s="149">
        <v>363</v>
      </c>
      <c r="AD51" s="149">
        <v>259</v>
      </c>
      <c r="AE51" s="146">
        <v>820</v>
      </c>
      <c r="AF51" s="149">
        <v>474</v>
      </c>
      <c r="AG51" s="149">
        <v>346</v>
      </c>
    </row>
    <row r="52" spans="1:33" ht="12">
      <c r="A52" s="144" t="s">
        <v>243</v>
      </c>
      <c r="B52" s="147">
        <v>576</v>
      </c>
      <c r="C52" s="147">
        <v>246</v>
      </c>
      <c r="D52" s="147">
        <v>330</v>
      </c>
      <c r="E52" s="148" t="s">
        <v>243</v>
      </c>
      <c r="F52" s="146">
        <v>539</v>
      </c>
      <c r="G52" s="146">
        <v>216</v>
      </c>
      <c r="H52" s="146">
        <v>323</v>
      </c>
      <c r="I52" s="148" t="s">
        <v>243</v>
      </c>
      <c r="J52" s="146">
        <v>569</v>
      </c>
      <c r="K52" s="146">
        <v>243</v>
      </c>
      <c r="L52" s="146">
        <v>326</v>
      </c>
      <c r="M52" s="146">
        <v>530</v>
      </c>
      <c r="N52" s="149">
        <v>220</v>
      </c>
      <c r="O52" s="149">
        <v>310</v>
      </c>
      <c r="P52" s="146">
        <v>533</v>
      </c>
      <c r="Q52" s="149">
        <v>233</v>
      </c>
      <c r="R52" s="149">
        <v>300</v>
      </c>
      <c r="S52" s="146">
        <v>549</v>
      </c>
      <c r="T52" s="149">
        <v>263</v>
      </c>
      <c r="U52" s="149">
        <v>286</v>
      </c>
      <c r="V52" s="146">
        <v>570</v>
      </c>
      <c r="W52" s="149">
        <v>286</v>
      </c>
      <c r="X52" s="149">
        <v>284</v>
      </c>
      <c r="Y52" s="146">
        <v>529</v>
      </c>
      <c r="Z52" s="149">
        <v>255</v>
      </c>
      <c r="AA52" s="149">
        <v>274</v>
      </c>
      <c r="AB52" s="146">
        <v>587</v>
      </c>
      <c r="AC52" s="149">
        <v>312</v>
      </c>
      <c r="AD52" s="149">
        <v>275</v>
      </c>
      <c r="AE52" s="146">
        <v>622</v>
      </c>
      <c r="AF52" s="149">
        <v>363</v>
      </c>
      <c r="AG52" s="149">
        <v>259</v>
      </c>
    </row>
    <row r="53" spans="1:33" ht="12">
      <c r="A53" s="144" t="s">
        <v>244</v>
      </c>
      <c r="B53" s="147">
        <v>546</v>
      </c>
      <c r="C53" s="147">
        <v>243</v>
      </c>
      <c r="D53" s="147">
        <v>303</v>
      </c>
      <c r="E53" s="148" t="s">
        <v>244</v>
      </c>
      <c r="F53" s="146">
        <v>565</v>
      </c>
      <c r="G53" s="146">
        <v>236</v>
      </c>
      <c r="H53" s="146">
        <v>329</v>
      </c>
      <c r="I53" s="148" t="s">
        <v>244</v>
      </c>
      <c r="J53" s="146">
        <v>548</v>
      </c>
      <c r="K53" s="146">
        <v>218</v>
      </c>
      <c r="L53" s="146">
        <v>330</v>
      </c>
      <c r="M53" s="146">
        <v>569</v>
      </c>
      <c r="N53" s="149">
        <v>243</v>
      </c>
      <c r="O53" s="149">
        <v>326</v>
      </c>
      <c r="P53" s="146">
        <v>530</v>
      </c>
      <c r="Q53" s="149">
        <v>220</v>
      </c>
      <c r="R53" s="149">
        <v>310</v>
      </c>
      <c r="S53" s="146">
        <v>533</v>
      </c>
      <c r="T53" s="149">
        <v>233</v>
      </c>
      <c r="U53" s="149">
        <v>300</v>
      </c>
      <c r="V53" s="146">
        <v>549</v>
      </c>
      <c r="W53" s="149">
        <v>263</v>
      </c>
      <c r="X53" s="149">
        <v>286</v>
      </c>
      <c r="Y53" s="146">
        <v>570</v>
      </c>
      <c r="Z53" s="149">
        <v>286</v>
      </c>
      <c r="AA53" s="149">
        <v>284</v>
      </c>
      <c r="AB53" s="146">
        <v>529</v>
      </c>
      <c r="AC53" s="149">
        <v>255</v>
      </c>
      <c r="AD53" s="149">
        <v>274</v>
      </c>
      <c r="AE53" s="146">
        <v>587</v>
      </c>
      <c r="AF53" s="149">
        <v>312</v>
      </c>
      <c r="AG53" s="149">
        <v>275</v>
      </c>
    </row>
    <row r="54" spans="1:12" ht="12">
      <c r="A54" s="140" t="s">
        <v>245</v>
      </c>
      <c r="B54" s="141">
        <v>2845</v>
      </c>
      <c r="C54" s="141">
        <v>1234</v>
      </c>
      <c r="D54" s="141">
        <v>1611</v>
      </c>
      <c r="E54" s="142" t="s">
        <v>245</v>
      </c>
      <c r="F54" s="143">
        <v>2749</v>
      </c>
      <c r="G54" s="143">
        <v>1166</v>
      </c>
      <c r="H54" s="143">
        <v>1583</v>
      </c>
      <c r="I54" s="142" t="s">
        <v>245</v>
      </c>
      <c r="J54" s="143">
        <v>2729</v>
      </c>
      <c r="K54" s="143">
        <v>1177</v>
      </c>
      <c r="L54" s="143">
        <v>1552</v>
      </c>
    </row>
    <row r="55" spans="1:33" ht="12">
      <c r="A55" s="144" t="s">
        <v>246</v>
      </c>
      <c r="B55" s="147">
        <v>532</v>
      </c>
      <c r="C55" s="147">
        <v>251</v>
      </c>
      <c r="D55" s="147">
        <v>281</v>
      </c>
      <c r="E55" s="148" t="s">
        <v>246</v>
      </c>
      <c r="F55" s="146">
        <v>531</v>
      </c>
      <c r="G55" s="146">
        <v>229</v>
      </c>
      <c r="H55" s="146">
        <v>302</v>
      </c>
      <c r="I55" s="148" t="s">
        <v>246</v>
      </c>
      <c r="J55" s="146">
        <v>563</v>
      </c>
      <c r="K55" s="146">
        <v>232</v>
      </c>
      <c r="L55" s="146">
        <v>331</v>
      </c>
      <c r="M55" s="146">
        <v>548</v>
      </c>
      <c r="N55" s="149">
        <v>218</v>
      </c>
      <c r="O55" s="149">
        <v>330</v>
      </c>
      <c r="P55" s="146">
        <v>569</v>
      </c>
      <c r="Q55" s="149">
        <v>243</v>
      </c>
      <c r="R55" s="149">
        <v>326</v>
      </c>
      <c r="S55" s="146">
        <v>530</v>
      </c>
      <c r="T55" s="149">
        <v>220</v>
      </c>
      <c r="U55" s="149">
        <v>310</v>
      </c>
      <c r="V55" s="146">
        <v>533</v>
      </c>
      <c r="W55" s="149">
        <v>233</v>
      </c>
      <c r="X55" s="149">
        <v>300</v>
      </c>
      <c r="Y55" s="146">
        <v>549</v>
      </c>
      <c r="Z55" s="149">
        <v>263</v>
      </c>
      <c r="AA55" s="149">
        <v>286</v>
      </c>
      <c r="AB55" s="146">
        <v>570</v>
      </c>
      <c r="AC55" s="149">
        <v>286</v>
      </c>
      <c r="AD55" s="149">
        <v>284</v>
      </c>
      <c r="AE55" s="146">
        <v>529</v>
      </c>
      <c r="AF55" s="149">
        <v>255</v>
      </c>
      <c r="AG55" s="149">
        <v>274</v>
      </c>
    </row>
    <row r="56" spans="1:33" ht="12">
      <c r="A56" s="144" t="s">
        <v>247</v>
      </c>
      <c r="B56" s="147">
        <v>553</v>
      </c>
      <c r="C56" s="147">
        <v>256</v>
      </c>
      <c r="D56" s="147">
        <v>297</v>
      </c>
      <c r="E56" s="148" t="s">
        <v>247</v>
      </c>
      <c r="F56" s="146">
        <v>509</v>
      </c>
      <c r="G56" s="146">
        <v>239</v>
      </c>
      <c r="H56" s="146">
        <v>270</v>
      </c>
      <c r="I56" s="148" t="s">
        <v>247</v>
      </c>
      <c r="J56" s="146">
        <v>511</v>
      </c>
      <c r="K56" s="146">
        <v>217</v>
      </c>
      <c r="L56" s="146">
        <v>294</v>
      </c>
      <c r="M56" s="146">
        <v>563</v>
      </c>
      <c r="N56" s="149">
        <v>232</v>
      </c>
      <c r="O56" s="149">
        <v>331</v>
      </c>
      <c r="P56" s="146">
        <v>548</v>
      </c>
      <c r="Q56" s="149">
        <v>218</v>
      </c>
      <c r="R56" s="149">
        <v>330</v>
      </c>
      <c r="S56" s="146">
        <v>569</v>
      </c>
      <c r="T56" s="149">
        <v>243</v>
      </c>
      <c r="U56" s="149">
        <v>326</v>
      </c>
      <c r="V56" s="146">
        <v>530</v>
      </c>
      <c r="W56" s="149">
        <v>220</v>
      </c>
      <c r="X56" s="149">
        <v>310</v>
      </c>
      <c r="Y56" s="146">
        <v>533</v>
      </c>
      <c r="Z56" s="149">
        <v>233</v>
      </c>
      <c r="AA56" s="149">
        <v>300</v>
      </c>
      <c r="AB56" s="146">
        <v>549</v>
      </c>
      <c r="AC56" s="149">
        <v>263</v>
      </c>
      <c r="AD56" s="149">
        <v>286</v>
      </c>
      <c r="AE56" s="146">
        <v>570</v>
      </c>
      <c r="AF56" s="149">
        <v>286</v>
      </c>
      <c r="AG56" s="149">
        <v>284</v>
      </c>
    </row>
    <row r="57" spans="1:33" ht="12">
      <c r="A57" s="144" t="s">
        <v>248</v>
      </c>
      <c r="B57" s="147">
        <v>529</v>
      </c>
      <c r="C57" s="147">
        <v>239</v>
      </c>
      <c r="D57" s="147">
        <v>290</v>
      </c>
      <c r="E57" s="148" t="s">
        <v>248</v>
      </c>
      <c r="F57" s="146">
        <v>527</v>
      </c>
      <c r="G57" s="146">
        <v>242</v>
      </c>
      <c r="H57" s="146">
        <v>285</v>
      </c>
      <c r="I57" s="148" t="s">
        <v>248</v>
      </c>
      <c r="J57" s="146">
        <v>499</v>
      </c>
      <c r="K57" s="146">
        <v>227</v>
      </c>
      <c r="L57" s="146">
        <v>272</v>
      </c>
      <c r="M57" s="146">
        <v>511</v>
      </c>
      <c r="N57" s="149">
        <v>217</v>
      </c>
      <c r="O57" s="149">
        <v>294</v>
      </c>
      <c r="P57" s="146">
        <v>563</v>
      </c>
      <c r="Q57" s="149">
        <v>232</v>
      </c>
      <c r="R57" s="149">
        <v>331</v>
      </c>
      <c r="S57" s="146">
        <v>548</v>
      </c>
      <c r="T57" s="149">
        <v>218</v>
      </c>
      <c r="U57" s="149">
        <v>330</v>
      </c>
      <c r="V57" s="146">
        <v>569</v>
      </c>
      <c r="W57" s="149">
        <v>243</v>
      </c>
      <c r="X57" s="149">
        <v>326</v>
      </c>
      <c r="Y57" s="146">
        <v>530</v>
      </c>
      <c r="Z57" s="149">
        <v>220</v>
      </c>
      <c r="AA57" s="149">
        <v>310</v>
      </c>
      <c r="AB57" s="146">
        <v>533</v>
      </c>
      <c r="AC57" s="149">
        <v>233</v>
      </c>
      <c r="AD57" s="149">
        <v>300</v>
      </c>
      <c r="AE57" s="146">
        <v>549</v>
      </c>
      <c r="AF57" s="149">
        <v>263</v>
      </c>
      <c r="AG57" s="149">
        <v>286</v>
      </c>
    </row>
    <row r="58" spans="1:33" ht="12">
      <c r="A58" s="144" t="s">
        <v>249</v>
      </c>
      <c r="B58" s="147">
        <v>505</v>
      </c>
      <c r="C58" s="147">
        <v>228</v>
      </c>
      <c r="D58" s="147">
        <v>277</v>
      </c>
      <c r="E58" s="148" t="s">
        <v>249</v>
      </c>
      <c r="F58" s="146">
        <v>518</v>
      </c>
      <c r="G58" s="146">
        <v>223</v>
      </c>
      <c r="H58" s="146">
        <v>295</v>
      </c>
      <c r="I58" s="148" t="s">
        <v>249</v>
      </c>
      <c r="J58" s="146">
        <v>507</v>
      </c>
      <c r="K58" s="146">
        <v>226</v>
      </c>
      <c r="L58" s="146">
        <v>281</v>
      </c>
      <c r="M58" s="146">
        <v>499</v>
      </c>
      <c r="N58" s="149">
        <v>227</v>
      </c>
      <c r="O58" s="149">
        <v>272</v>
      </c>
      <c r="P58" s="146">
        <v>511</v>
      </c>
      <c r="Q58" s="149">
        <v>217</v>
      </c>
      <c r="R58" s="149">
        <v>294</v>
      </c>
      <c r="S58" s="146">
        <v>563</v>
      </c>
      <c r="T58" s="149">
        <v>232</v>
      </c>
      <c r="U58" s="149">
        <v>331</v>
      </c>
      <c r="V58" s="146">
        <v>548</v>
      </c>
      <c r="W58" s="149">
        <v>218</v>
      </c>
      <c r="X58" s="149">
        <v>330</v>
      </c>
      <c r="Y58" s="146">
        <v>569</v>
      </c>
      <c r="Z58" s="149">
        <v>243</v>
      </c>
      <c r="AA58" s="149">
        <v>326</v>
      </c>
      <c r="AB58" s="146">
        <v>530</v>
      </c>
      <c r="AC58" s="149">
        <v>220</v>
      </c>
      <c r="AD58" s="149">
        <v>310</v>
      </c>
      <c r="AE58" s="146">
        <v>533</v>
      </c>
      <c r="AF58" s="149">
        <v>233</v>
      </c>
      <c r="AG58" s="149">
        <v>300</v>
      </c>
    </row>
    <row r="59" spans="1:33" ht="12">
      <c r="A59" s="144" t="s">
        <v>250</v>
      </c>
      <c r="B59" s="147">
        <v>506</v>
      </c>
      <c r="C59" s="147">
        <v>229</v>
      </c>
      <c r="D59" s="147">
        <v>277</v>
      </c>
      <c r="E59" s="148" t="s">
        <v>250</v>
      </c>
      <c r="F59" s="146">
        <v>485</v>
      </c>
      <c r="G59" s="146">
        <v>217</v>
      </c>
      <c r="H59" s="146">
        <v>268</v>
      </c>
      <c r="I59" s="148" t="s">
        <v>250</v>
      </c>
      <c r="J59" s="146">
        <v>501</v>
      </c>
      <c r="K59" s="146">
        <v>210</v>
      </c>
      <c r="L59" s="146">
        <v>291</v>
      </c>
      <c r="M59" s="146">
        <v>507</v>
      </c>
      <c r="N59" s="149">
        <v>226</v>
      </c>
      <c r="O59" s="149">
        <v>281</v>
      </c>
      <c r="P59" s="146">
        <v>499</v>
      </c>
      <c r="Q59" s="149">
        <v>227</v>
      </c>
      <c r="R59" s="149">
        <v>272</v>
      </c>
      <c r="S59" s="146">
        <v>511</v>
      </c>
      <c r="T59" s="149">
        <v>217</v>
      </c>
      <c r="U59" s="149">
        <v>294</v>
      </c>
      <c r="V59" s="146">
        <v>563</v>
      </c>
      <c r="W59" s="149">
        <v>232</v>
      </c>
      <c r="X59" s="149">
        <v>331</v>
      </c>
      <c r="Y59" s="146">
        <v>548</v>
      </c>
      <c r="Z59" s="149">
        <v>218</v>
      </c>
      <c r="AA59" s="149">
        <v>330</v>
      </c>
      <c r="AB59" s="146">
        <v>569</v>
      </c>
      <c r="AC59" s="149">
        <v>243</v>
      </c>
      <c r="AD59" s="149">
        <v>326</v>
      </c>
      <c r="AE59" s="146">
        <v>530</v>
      </c>
      <c r="AF59" s="149">
        <v>220</v>
      </c>
      <c r="AG59" s="149">
        <v>310</v>
      </c>
    </row>
    <row r="60" spans="1:12" ht="12">
      <c r="A60" s="140" t="s">
        <v>251</v>
      </c>
      <c r="B60" s="141">
        <v>2625</v>
      </c>
      <c r="C60" s="141">
        <v>1203</v>
      </c>
      <c r="D60" s="141">
        <v>1422</v>
      </c>
      <c r="E60" s="142" t="s">
        <v>251</v>
      </c>
      <c r="F60" s="143">
        <v>2570</v>
      </c>
      <c r="G60" s="143">
        <v>1150</v>
      </c>
      <c r="H60" s="143">
        <v>1420</v>
      </c>
      <c r="I60" s="142" t="s">
        <v>251</v>
      </c>
      <c r="J60" s="143">
        <v>2581</v>
      </c>
      <c r="K60" s="143">
        <v>1112</v>
      </c>
      <c r="L60" s="143">
        <v>1469</v>
      </c>
    </row>
    <row r="61" spans="1:33" ht="12">
      <c r="A61" s="144" t="s">
        <v>252</v>
      </c>
      <c r="B61" s="147">
        <v>474</v>
      </c>
      <c r="C61" s="147">
        <v>208</v>
      </c>
      <c r="D61" s="147">
        <v>266</v>
      </c>
      <c r="E61" s="148" t="s">
        <v>252</v>
      </c>
      <c r="F61" s="146">
        <v>490</v>
      </c>
      <c r="G61" s="146">
        <v>215</v>
      </c>
      <c r="H61" s="146">
        <v>275</v>
      </c>
      <c r="I61" s="148" t="s">
        <v>252</v>
      </c>
      <c r="J61" s="146">
        <v>471</v>
      </c>
      <c r="K61" s="146">
        <v>210</v>
      </c>
      <c r="L61" s="146">
        <v>261</v>
      </c>
      <c r="M61" s="146">
        <v>501</v>
      </c>
      <c r="N61" s="149">
        <v>210</v>
      </c>
      <c r="O61" s="149">
        <v>291</v>
      </c>
      <c r="P61" s="146">
        <v>507</v>
      </c>
      <c r="Q61" s="149">
        <v>226</v>
      </c>
      <c r="R61" s="149">
        <v>281</v>
      </c>
      <c r="S61" s="146">
        <v>499</v>
      </c>
      <c r="T61" s="149">
        <v>227</v>
      </c>
      <c r="U61" s="149">
        <v>272</v>
      </c>
      <c r="V61" s="146">
        <v>511</v>
      </c>
      <c r="W61" s="149">
        <v>217</v>
      </c>
      <c r="X61" s="149">
        <v>294</v>
      </c>
      <c r="Y61" s="146">
        <v>563</v>
      </c>
      <c r="Z61" s="149">
        <v>232</v>
      </c>
      <c r="AA61" s="149">
        <v>331</v>
      </c>
      <c r="AB61" s="146">
        <v>548</v>
      </c>
      <c r="AC61" s="149">
        <v>218</v>
      </c>
      <c r="AD61" s="149">
        <v>330</v>
      </c>
      <c r="AE61" s="146">
        <v>569</v>
      </c>
      <c r="AF61" s="149">
        <v>243</v>
      </c>
      <c r="AG61" s="149">
        <v>326</v>
      </c>
    </row>
    <row r="62" spans="1:33" ht="12">
      <c r="A62" s="144" t="s">
        <v>253</v>
      </c>
      <c r="B62" s="147">
        <v>414</v>
      </c>
      <c r="C62" s="147">
        <v>178</v>
      </c>
      <c r="D62" s="147">
        <v>236</v>
      </c>
      <c r="E62" s="148" t="s">
        <v>253</v>
      </c>
      <c r="F62" s="146">
        <v>455</v>
      </c>
      <c r="G62" s="146">
        <v>197</v>
      </c>
      <c r="H62" s="146">
        <v>258</v>
      </c>
      <c r="I62" s="148" t="s">
        <v>253</v>
      </c>
      <c r="J62" s="146">
        <v>473</v>
      </c>
      <c r="K62" s="146">
        <v>205</v>
      </c>
      <c r="L62" s="146">
        <v>268</v>
      </c>
      <c r="M62" s="146">
        <v>471</v>
      </c>
      <c r="N62" s="149">
        <v>210</v>
      </c>
      <c r="O62" s="149">
        <v>261</v>
      </c>
      <c r="P62" s="146">
        <v>501</v>
      </c>
      <c r="Q62" s="149">
        <v>210</v>
      </c>
      <c r="R62" s="149">
        <v>291</v>
      </c>
      <c r="S62" s="146">
        <v>507</v>
      </c>
      <c r="T62" s="149">
        <v>226</v>
      </c>
      <c r="U62" s="149">
        <v>281</v>
      </c>
      <c r="V62" s="146">
        <v>499</v>
      </c>
      <c r="W62" s="149">
        <v>227</v>
      </c>
      <c r="X62" s="149">
        <v>272</v>
      </c>
      <c r="Y62" s="146">
        <v>511</v>
      </c>
      <c r="Z62" s="149">
        <v>217</v>
      </c>
      <c r="AA62" s="149">
        <v>294</v>
      </c>
      <c r="AB62" s="146">
        <v>563</v>
      </c>
      <c r="AC62" s="149">
        <v>232</v>
      </c>
      <c r="AD62" s="149">
        <v>331</v>
      </c>
      <c r="AE62" s="146">
        <v>548</v>
      </c>
      <c r="AF62" s="149">
        <v>218</v>
      </c>
      <c r="AG62" s="149">
        <v>330</v>
      </c>
    </row>
    <row r="63" spans="1:33" ht="12">
      <c r="A63" s="144" t="s">
        <v>254</v>
      </c>
      <c r="B63" s="147">
        <v>401</v>
      </c>
      <c r="C63" s="147">
        <v>184</v>
      </c>
      <c r="D63" s="147">
        <v>217</v>
      </c>
      <c r="E63" s="148" t="s">
        <v>254</v>
      </c>
      <c r="F63" s="146">
        <v>393</v>
      </c>
      <c r="G63" s="146">
        <v>166</v>
      </c>
      <c r="H63" s="146">
        <v>227</v>
      </c>
      <c r="I63" s="148" t="s">
        <v>254</v>
      </c>
      <c r="J63" s="146">
        <v>444</v>
      </c>
      <c r="K63" s="146">
        <v>187</v>
      </c>
      <c r="L63" s="146">
        <v>257</v>
      </c>
      <c r="M63" s="146">
        <v>473</v>
      </c>
      <c r="N63" s="149">
        <v>205</v>
      </c>
      <c r="O63" s="149">
        <v>268</v>
      </c>
      <c r="P63" s="146">
        <v>471</v>
      </c>
      <c r="Q63" s="149">
        <v>210</v>
      </c>
      <c r="R63" s="149">
        <v>261</v>
      </c>
      <c r="S63" s="146">
        <v>501</v>
      </c>
      <c r="T63" s="149">
        <v>210</v>
      </c>
      <c r="U63" s="149">
        <v>291</v>
      </c>
      <c r="V63" s="146">
        <v>507</v>
      </c>
      <c r="W63" s="149">
        <v>226</v>
      </c>
      <c r="X63" s="149">
        <v>281</v>
      </c>
      <c r="Y63" s="146">
        <v>499</v>
      </c>
      <c r="Z63" s="149">
        <v>227</v>
      </c>
      <c r="AA63" s="149">
        <v>272</v>
      </c>
      <c r="AB63" s="146">
        <v>511</v>
      </c>
      <c r="AC63" s="149">
        <v>217</v>
      </c>
      <c r="AD63" s="149">
        <v>294</v>
      </c>
      <c r="AE63" s="146">
        <v>563</v>
      </c>
      <c r="AF63" s="149">
        <v>232</v>
      </c>
      <c r="AG63" s="149">
        <v>331</v>
      </c>
    </row>
    <row r="64" spans="1:33" ht="12">
      <c r="A64" s="144" t="s">
        <v>255</v>
      </c>
      <c r="B64" s="147">
        <v>364</v>
      </c>
      <c r="C64" s="147">
        <v>153</v>
      </c>
      <c r="D64" s="147">
        <v>211</v>
      </c>
      <c r="E64" s="148" t="s">
        <v>255</v>
      </c>
      <c r="F64" s="146">
        <v>391</v>
      </c>
      <c r="G64" s="146">
        <v>170</v>
      </c>
      <c r="H64" s="146">
        <v>221</v>
      </c>
      <c r="I64" s="148" t="s">
        <v>255</v>
      </c>
      <c r="J64" s="146">
        <v>384</v>
      </c>
      <c r="K64" s="146">
        <v>160</v>
      </c>
      <c r="L64" s="146">
        <v>224</v>
      </c>
      <c r="M64" s="146">
        <v>444</v>
      </c>
      <c r="N64" s="149">
        <v>187</v>
      </c>
      <c r="O64" s="149">
        <v>257</v>
      </c>
      <c r="P64" s="146">
        <v>473</v>
      </c>
      <c r="Q64" s="149">
        <v>205</v>
      </c>
      <c r="R64" s="149">
        <v>268</v>
      </c>
      <c r="S64" s="146">
        <v>471</v>
      </c>
      <c r="T64" s="149">
        <v>210</v>
      </c>
      <c r="U64" s="149">
        <v>261</v>
      </c>
      <c r="V64" s="146">
        <v>501</v>
      </c>
      <c r="W64" s="149">
        <v>210</v>
      </c>
      <c r="X64" s="149">
        <v>291</v>
      </c>
      <c r="Y64" s="146">
        <v>507</v>
      </c>
      <c r="Z64" s="149">
        <v>226</v>
      </c>
      <c r="AA64" s="149">
        <v>281</v>
      </c>
      <c r="AB64" s="146">
        <v>499</v>
      </c>
      <c r="AC64" s="149">
        <v>227</v>
      </c>
      <c r="AD64" s="149">
        <v>272</v>
      </c>
      <c r="AE64" s="146">
        <v>511</v>
      </c>
      <c r="AF64" s="149">
        <v>217</v>
      </c>
      <c r="AG64" s="149">
        <v>294</v>
      </c>
    </row>
    <row r="65" spans="1:33" ht="12">
      <c r="A65" s="144" t="s">
        <v>256</v>
      </c>
      <c r="B65" s="147">
        <v>367</v>
      </c>
      <c r="C65" s="147">
        <v>159</v>
      </c>
      <c r="D65" s="147">
        <v>208</v>
      </c>
      <c r="E65" s="148" t="s">
        <v>256</v>
      </c>
      <c r="F65" s="146">
        <v>348</v>
      </c>
      <c r="G65" s="146">
        <v>144</v>
      </c>
      <c r="H65" s="146">
        <v>204</v>
      </c>
      <c r="I65" s="148" t="s">
        <v>256</v>
      </c>
      <c r="J65" s="146">
        <v>385</v>
      </c>
      <c r="K65" s="146">
        <v>161</v>
      </c>
      <c r="L65" s="146">
        <v>224</v>
      </c>
      <c r="M65" s="146">
        <v>384</v>
      </c>
      <c r="N65" s="149">
        <v>160</v>
      </c>
      <c r="O65" s="149">
        <v>224</v>
      </c>
      <c r="P65" s="146">
        <v>444</v>
      </c>
      <c r="Q65" s="149">
        <v>187</v>
      </c>
      <c r="R65" s="149">
        <v>257</v>
      </c>
      <c r="S65" s="146">
        <v>473</v>
      </c>
      <c r="T65" s="149">
        <v>205</v>
      </c>
      <c r="U65" s="149">
        <v>268</v>
      </c>
      <c r="V65" s="146">
        <v>471</v>
      </c>
      <c r="W65" s="149">
        <v>210</v>
      </c>
      <c r="X65" s="149">
        <v>261</v>
      </c>
      <c r="Y65" s="146">
        <v>501</v>
      </c>
      <c r="Z65" s="149">
        <v>210</v>
      </c>
      <c r="AA65" s="149">
        <v>291</v>
      </c>
      <c r="AB65" s="146">
        <v>507</v>
      </c>
      <c r="AC65" s="149">
        <v>226</v>
      </c>
      <c r="AD65" s="149">
        <v>281</v>
      </c>
      <c r="AE65" s="146">
        <v>499</v>
      </c>
      <c r="AF65" s="149">
        <v>227</v>
      </c>
      <c r="AG65" s="149">
        <v>272</v>
      </c>
    </row>
    <row r="66" spans="1:12" ht="12">
      <c r="A66" s="140" t="s">
        <v>257</v>
      </c>
      <c r="B66" s="141">
        <v>2020</v>
      </c>
      <c r="C66" s="141">
        <v>882</v>
      </c>
      <c r="D66" s="141">
        <v>1138</v>
      </c>
      <c r="E66" s="142" t="s">
        <v>257</v>
      </c>
      <c r="F66" s="143">
        <v>2077</v>
      </c>
      <c r="G66" s="143">
        <v>892</v>
      </c>
      <c r="H66" s="143">
        <v>1185</v>
      </c>
      <c r="I66" s="142" t="s">
        <v>257</v>
      </c>
      <c r="J66" s="143">
        <v>2157</v>
      </c>
      <c r="K66" s="143">
        <v>923</v>
      </c>
      <c r="L66" s="143">
        <v>1234</v>
      </c>
    </row>
    <row r="67" spans="1:33" ht="12">
      <c r="A67" s="144" t="s">
        <v>258</v>
      </c>
      <c r="B67" s="147">
        <v>380</v>
      </c>
      <c r="C67" s="147">
        <v>181</v>
      </c>
      <c r="D67" s="147">
        <v>199</v>
      </c>
      <c r="E67" s="148" t="s">
        <v>258</v>
      </c>
      <c r="F67" s="146">
        <v>359</v>
      </c>
      <c r="G67" s="146">
        <v>151</v>
      </c>
      <c r="H67" s="146">
        <v>208</v>
      </c>
      <c r="I67" s="148" t="s">
        <v>258</v>
      </c>
      <c r="J67" s="146">
        <v>334</v>
      </c>
      <c r="K67" s="146">
        <v>137</v>
      </c>
      <c r="L67" s="146">
        <v>197</v>
      </c>
      <c r="M67" s="146">
        <v>385</v>
      </c>
      <c r="N67" s="149">
        <v>161</v>
      </c>
      <c r="O67" s="149">
        <v>224</v>
      </c>
      <c r="P67" s="146">
        <v>384</v>
      </c>
      <c r="Q67" s="149">
        <v>160</v>
      </c>
      <c r="R67" s="149">
        <v>224</v>
      </c>
      <c r="S67" s="146">
        <v>444</v>
      </c>
      <c r="T67" s="149">
        <v>187</v>
      </c>
      <c r="U67" s="149">
        <v>257</v>
      </c>
      <c r="V67" s="146">
        <v>473</v>
      </c>
      <c r="W67" s="149">
        <v>205</v>
      </c>
      <c r="X67" s="149">
        <v>268</v>
      </c>
      <c r="Y67" s="146">
        <v>471</v>
      </c>
      <c r="Z67" s="149">
        <v>210</v>
      </c>
      <c r="AA67" s="149">
        <v>261</v>
      </c>
      <c r="AB67" s="146">
        <v>501</v>
      </c>
      <c r="AC67" s="149">
        <v>210</v>
      </c>
      <c r="AD67" s="149">
        <v>291</v>
      </c>
      <c r="AE67" s="146">
        <v>507</v>
      </c>
      <c r="AF67" s="149">
        <v>226</v>
      </c>
      <c r="AG67" s="149">
        <v>281</v>
      </c>
    </row>
    <row r="68" spans="1:33" ht="12">
      <c r="A68" s="144" t="s">
        <v>259</v>
      </c>
      <c r="B68" s="147">
        <v>409</v>
      </c>
      <c r="C68" s="147">
        <v>161</v>
      </c>
      <c r="D68" s="147">
        <v>248</v>
      </c>
      <c r="E68" s="148" t="s">
        <v>259</v>
      </c>
      <c r="F68" s="146">
        <v>370</v>
      </c>
      <c r="G68" s="146">
        <v>170</v>
      </c>
      <c r="H68" s="146">
        <v>200</v>
      </c>
      <c r="I68" s="148" t="s">
        <v>259</v>
      </c>
      <c r="J68" s="146">
        <v>351</v>
      </c>
      <c r="K68" s="146">
        <v>145</v>
      </c>
      <c r="L68" s="146">
        <v>206</v>
      </c>
      <c r="M68" s="146">
        <v>334</v>
      </c>
      <c r="N68" s="149">
        <v>137</v>
      </c>
      <c r="O68" s="149">
        <v>197</v>
      </c>
      <c r="P68" s="146">
        <v>385</v>
      </c>
      <c r="Q68" s="149">
        <v>161</v>
      </c>
      <c r="R68" s="149">
        <v>224</v>
      </c>
      <c r="S68" s="146">
        <v>384</v>
      </c>
      <c r="T68" s="149">
        <v>160</v>
      </c>
      <c r="U68" s="149">
        <v>224</v>
      </c>
      <c r="V68" s="146">
        <v>444</v>
      </c>
      <c r="W68" s="149">
        <v>187</v>
      </c>
      <c r="X68" s="149">
        <v>257</v>
      </c>
      <c r="Y68" s="146">
        <v>473</v>
      </c>
      <c r="Z68" s="149">
        <v>205</v>
      </c>
      <c r="AA68" s="149">
        <v>268</v>
      </c>
      <c r="AB68" s="146">
        <v>471</v>
      </c>
      <c r="AC68" s="149">
        <v>210</v>
      </c>
      <c r="AD68" s="149">
        <v>261</v>
      </c>
      <c r="AE68" s="146">
        <v>501</v>
      </c>
      <c r="AF68" s="149">
        <v>210</v>
      </c>
      <c r="AG68" s="149">
        <v>291</v>
      </c>
    </row>
    <row r="69" spans="1:33" ht="12">
      <c r="A69" s="144" t="s">
        <v>260</v>
      </c>
      <c r="B69" s="147">
        <v>448</v>
      </c>
      <c r="C69" s="147">
        <v>188</v>
      </c>
      <c r="D69" s="147">
        <v>260</v>
      </c>
      <c r="E69" s="148" t="s">
        <v>260</v>
      </c>
      <c r="F69" s="146">
        <v>395</v>
      </c>
      <c r="G69" s="146">
        <v>152</v>
      </c>
      <c r="H69" s="146">
        <v>243</v>
      </c>
      <c r="I69" s="148" t="s">
        <v>260</v>
      </c>
      <c r="J69" s="146">
        <v>357</v>
      </c>
      <c r="K69" s="146">
        <v>160</v>
      </c>
      <c r="L69" s="146">
        <v>197</v>
      </c>
      <c r="M69" s="146">
        <v>351</v>
      </c>
      <c r="N69" s="149">
        <v>145</v>
      </c>
      <c r="O69" s="149">
        <v>206</v>
      </c>
      <c r="P69" s="146">
        <v>334</v>
      </c>
      <c r="Q69" s="149">
        <v>137</v>
      </c>
      <c r="R69" s="149">
        <v>197</v>
      </c>
      <c r="S69" s="146">
        <v>385</v>
      </c>
      <c r="T69" s="149">
        <v>161</v>
      </c>
      <c r="U69" s="149">
        <v>224</v>
      </c>
      <c r="V69" s="146">
        <v>384</v>
      </c>
      <c r="W69" s="149">
        <v>160</v>
      </c>
      <c r="X69" s="149">
        <v>224</v>
      </c>
      <c r="Y69" s="146">
        <v>444</v>
      </c>
      <c r="Z69" s="149">
        <v>187</v>
      </c>
      <c r="AA69" s="149">
        <v>257</v>
      </c>
      <c r="AB69" s="146">
        <v>473</v>
      </c>
      <c r="AC69" s="149">
        <v>205</v>
      </c>
      <c r="AD69" s="149">
        <v>268</v>
      </c>
      <c r="AE69" s="146">
        <v>471</v>
      </c>
      <c r="AF69" s="149">
        <v>210</v>
      </c>
      <c r="AG69" s="149">
        <v>261</v>
      </c>
    </row>
    <row r="70" spans="1:33" ht="12">
      <c r="A70" s="144" t="s">
        <v>261</v>
      </c>
      <c r="B70" s="147">
        <v>447</v>
      </c>
      <c r="C70" s="147">
        <v>178</v>
      </c>
      <c r="D70" s="147">
        <v>269</v>
      </c>
      <c r="E70" s="148" t="s">
        <v>261</v>
      </c>
      <c r="F70" s="146">
        <v>439</v>
      </c>
      <c r="G70" s="146">
        <v>179</v>
      </c>
      <c r="H70" s="146">
        <v>260</v>
      </c>
      <c r="I70" s="148" t="s">
        <v>261</v>
      </c>
      <c r="J70" s="146">
        <v>379</v>
      </c>
      <c r="K70" s="146">
        <v>137</v>
      </c>
      <c r="L70" s="146">
        <v>242</v>
      </c>
      <c r="M70" s="146">
        <v>357</v>
      </c>
      <c r="N70" s="149">
        <v>160</v>
      </c>
      <c r="O70" s="149">
        <v>197</v>
      </c>
      <c r="P70" s="146">
        <v>351</v>
      </c>
      <c r="Q70" s="149">
        <v>145</v>
      </c>
      <c r="R70" s="149">
        <v>206</v>
      </c>
      <c r="S70" s="146">
        <v>334</v>
      </c>
      <c r="T70" s="149">
        <v>137</v>
      </c>
      <c r="U70" s="149">
        <v>197</v>
      </c>
      <c r="V70" s="146">
        <v>385</v>
      </c>
      <c r="W70" s="149">
        <v>161</v>
      </c>
      <c r="X70" s="149">
        <v>224</v>
      </c>
      <c r="Y70" s="146">
        <v>384</v>
      </c>
      <c r="Z70" s="149">
        <v>160</v>
      </c>
      <c r="AA70" s="149">
        <v>224</v>
      </c>
      <c r="AB70" s="146">
        <v>444</v>
      </c>
      <c r="AC70" s="149">
        <v>187</v>
      </c>
      <c r="AD70" s="149">
        <v>257</v>
      </c>
      <c r="AE70" s="146">
        <v>473</v>
      </c>
      <c r="AF70" s="149">
        <v>205</v>
      </c>
      <c r="AG70" s="149">
        <v>268</v>
      </c>
    </row>
    <row r="71" spans="1:33" ht="12">
      <c r="A71" s="144" t="s">
        <v>262</v>
      </c>
      <c r="B71" s="147">
        <v>557</v>
      </c>
      <c r="C71" s="147">
        <v>217</v>
      </c>
      <c r="D71" s="147">
        <v>340</v>
      </c>
      <c r="E71" s="148" t="s">
        <v>262</v>
      </c>
      <c r="F71" s="146">
        <v>431</v>
      </c>
      <c r="G71" s="146">
        <v>167</v>
      </c>
      <c r="H71" s="146">
        <v>264</v>
      </c>
      <c r="I71" s="148" t="s">
        <v>262</v>
      </c>
      <c r="J71" s="146">
        <v>430</v>
      </c>
      <c r="K71" s="146">
        <v>169</v>
      </c>
      <c r="L71" s="146">
        <v>261</v>
      </c>
      <c r="M71" s="146">
        <v>379</v>
      </c>
      <c r="N71" s="149">
        <v>137</v>
      </c>
      <c r="O71" s="149">
        <v>242</v>
      </c>
      <c r="P71" s="146">
        <v>357</v>
      </c>
      <c r="Q71" s="149">
        <v>160</v>
      </c>
      <c r="R71" s="149">
        <v>197</v>
      </c>
      <c r="S71" s="146">
        <v>351</v>
      </c>
      <c r="T71" s="149">
        <v>145</v>
      </c>
      <c r="U71" s="149">
        <v>206</v>
      </c>
      <c r="V71" s="146">
        <v>334</v>
      </c>
      <c r="W71" s="149">
        <v>137</v>
      </c>
      <c r="X71" s="149">
        <v>197</v>
      </c>
      <c r="Y71" s="146">
        <v>385</v>
      </c>
      <c r="Z71" s="149">
        <v>161</v>
      </c>
      <c r="AA71" s="149">
        <v>224</v>
      </c>
      <c r="AB71" s="146">
        <v>384</v>
      </c>
      <c r="AC71" s="149">
        <v>160</v>
      </c>
      <c r="AD71" s="149">
        <v>224</v>
      </c>
      <c r="AE71" s="146">
        <v>444</v>
      </c>
      <c r="AF71" s="149">
        <v>187</v>
      </c>
      <c r="AG71" s="149">
        <v>257</v>
      </c>
    </row>
    <row r="72" spans="1:12" ht="12">
      <c r="A72" s="140" t="s">
        <v>263</v>
      </c>
      <c r="B72" s="141">
        <v>2241</v>
      </c>
      <c r="C72" s="141">
        <v>925</v>
      </c>
      <c r="D72" s="141">
        <v>1316</v>
      </c>
      <c r="E72" s="142" t="s">
        <v>263</v>
      </c>
      <c r="F72" s="143">
        <v>1994</v>
      </c>
      <c r="G72" s="143">
        <v>819</v>
      </c>
      <c r="H72" s="143">
        <v>1175</v>
      </c>
      <c r="I72" s="142" t="s">
        <v>263</v>
      </c>
      <c r="J72" s="143">
        <v>1851</v>
      </c>
      <c r="K72" s="143">
        <v>748</v>
      </c>
      <c r="L72" s="143">
        <v>1103</v>
      </c>
    </row>
    <row r="73" spans="1:33" ht="12">
      <c r="A73" s="144" t="s">
        <v>264</v>
      </c>
      <c r="B73" s="147">
        <v>545</v>
      </c>
      <c r="C73" s="147">
        <v>220</v>
      </c>
      <c r="D73" s="147">
        <v>325</v>
      </c>
      <c r="E73" s="148" t="s">
        <v>264</v>
      </c>
      <c r="F73" s="146">
        <v>543</v>
      </c>
      <c r="G73" s="146">
        <v>205</v>
      </c>
      <c r="H73" s="146">
        <v>338</v>
      </c>
      <c r="I73" s="148" t="s">
        <v>264</v>
      </c>
      <c r="J73" s="146">
        <v>423</v>
      </c>
      <c r="K73" s="146">
        <v>162</v>
      </c>
      <c r="L73" s="146">
        <v>261</v>
      </c>
      <c r="M73" s="146">
        <v>430</v>
      </c>
      <c r="N73" s="149">
        <v>169</v>
      </c>
      <c r="O73" s="150">
        <v>261</v>
      </c>
      <c r="P73" s="146">
        <v>379</v>
      </c>
      <c r="Q73" s="149">
        <v>137</v>
      </c>
      <c r="R73" s="150">
        <v>242</v>
      </c>
      <c r="S73" s="146">
        <v>357</v>
      </c>
      <c r="T73" s="149">
        <v>160</v>
      </c>
      <c r="U73" s="149">
        <v>197</v>
      </c>
      <c r="V73" s="146">
        <v>351</v>
      </c>
      <c r="W73" s="149">
        <v>145</v>
      </c>
      <c r="X73" s="149">
        <v>206</v>
      </c>
      <c r="Y73" s="146">
        <v>334</v>
      </c>
      <c r="Z73" s="149">
        <v>137</v>
      </c>
      <c r="AA73" s="149">
        <v>197</v>
      </c>
      <c r="AB73" s="146">
        <v>385</v>
      </c>
      <c r="AC73" s="149">
        <v>161</v>
      </c>
      <c r="AD73" s="149">
        <v>224</v>
      </c>
      <c r="AE73" s="146">
        <v>384</v>
      </c>
      <c r="AF73" s="149">
        <v>160</v>
      </c>
      <c r="AG73" s="149">
        <v>224</v>
      </c>
    </row>
    <row r="74" spans="1:33" ht="12">
      <c r="A74" s="144" t="s">
        <v>265</v>
      </c>
      <c r="B74" s="147">
        <v>531</v>
      </c>
      <c r="C74" s="147">
        <v>204</v>
      </c>
      <c r="D74" s="147">
        <v>327</v>
      </c>
      <c r="E74" s="148" t="s">
        <v>265</v>
      </c>
      <c r="F74" s="146">
        <v>523</v>
      </c>
      <c r="G74" s="146">
        <v>206</v>
      </c>
      <c r="H74" s="146">
        <v>317</v>
      </c>
      <c r="I74" s="148" t="s">
        <v>265</v>
      </c>
      <c r="J74" s="146">
        <v>530</v>
      </c>
      <c r="K74" s="146">
        <v>194</v>
      </c>
      <c r="L74" s="146">
        <v>336</v>
      </c>
      <c r="M74" s="146">
        <v>423</v>
      </c>
      <c r="N74" s="149">
        <v>162</v>
      </c>
      <c r="O74" s="146">
        <v>261</v>
      </c>
      <c r="P74" s="146">
        <v>430</v>
      </c>
      <c r="Q74" s="149">
        <v>169</v>
      </c>
      <c r="R74" s="151">
        <v>261</v>
      </c>
      <c r="S74" s="146">
        <v>379</v>
      </c>
      <c r="T74" s="149">
        <v>137</v>
      </c>
      <c r="U74" s="228">
        <v>242</v>
      </c>
      <c r="V74" s="146">
        <v>357</v>
      </c>
      <c r="W74" s="149">
        <v>160</v>
      </c>
      <c r="X74" s="149">
        <v>197</v>
      </c>
      <c r="Y74" s="146">
        <v>351</v>
      </c>
      <c r="Z74" s="149">
        <v>145</v>
      </c>
      <c r="AA74" s="149">
        <v>206</v>
      </c>
      <c r="AB74" s="146">
        <v>334</v>
      </c>
      <c r="AC74" s="149">
        <v>137</v>
      </c>
      <c r="AD74" s="149">
        <v>197</v>
      </c>
      <c r="AE74" s="146">
        <v>385</v>
      </c>
      <c r="AF74" s="149">
        <v>161</v>
      </c>
      <c r="AG74" s="149">
        <v>224</v>
      </c>
    </row>
    <row r="75" spans="1:33" ht="12">
      <c r="A75" s="144" t="s">
        <v>266</v>
      </c>
      <c r="B75" s="147">
        <v>548</v>
      </c>
      <c r="C75" s="147">
        <v>227</v>
      </c>
      <c r="D75" s="147">
        <v>321</v>
      </c>
      <c r="E75" s="148" t="s">
        <v>266</v>
      </c>
      <c r="F75" s="146">
        <v>516</v>
      </c>
      <c r="G75" s="146">
        <v>192</v>
      </c>
      <c r="H75" s="146">
        <v>324</v>
      </c>
      <c r="I75" s="148" t="s">
        <v>266</v>
      </c>
      <c r="J75" s="146">
        <v>506</v>
      </c>
      <c r="K75" s="146">
        <v>193</v>
      </c>
      <c r="L75" s="146">
        <v>313</v>
      </c>
      <c r="M75" s="146">
        <v>530</v>
      </c>
      <c r="N75" s="149">
        <v>194</v>
      </c>
      <c r="O75" s="146">
        <v>336</v>
      </c>
      <c r="P75" s="146">
        <v>423</v>
      </c>
      <c r="Q75" s="149">
        <v>162</v>
      </c>
      <c r="R75" s="146">
        <v>261</v>
      </c>
      <c r="S75" s="146">
        <v>430</v>
      </c>
      <c r="T75" s="149">
        <v>169</v>
      </c>
      <c r="U75" s="223">
        <v>261</v>
      </c>
      <c r="V75" s="146">
        <v>379</v>
      </c>
      <c r="W75" s="149">
        <v>137</v>
      </c>
      <c r="X75" s="150">
        <v>242</v>
      </c>
      <c r="Y75" s="146">
        <v>357</v>
      </c>
      <c r="Z75" s="149">
        <v>160</v>
      </c>
      <c r="AA75" s="228">
        <v>197</v>
      </c>
      <c r="AB75" s="146">
        <v>351</v>
      </c>
      <c r="AC75" s="149">
        <v>145</v>
      </c>
      <c r="AD75" s="149">
        <v>206</v>
      </c>
      <c r="AE75" s="146">
        <v>334</v>
      </c>
      <c r="AF75" s="149">
        <v>137</v>
      </c>
      <c r="AG75" s="149">
        <v>197</v>
      </c>
    </row>
    <row r="76" spans="1:33" ht="12">
      <c r="A76" s="144" t="s">
        <v>267</v>
      </c>
      <c r="B76" s="147">
        <v>585</v>
      </c>
      <c r="C76" s="147">
        <v>217</v>
      </c>
      <c r="D76" s="147">
        <v>368</v>
      </c>
      <c r="E76" s="148" t="s">
        <v>267</v>
      </c>
      <c r="F76" s="146">
        <v>535</v>
      </c>
      <c r="G76" s="146">
        <v>215</v>
      </c>
      <c r="H76" s="146">
        <v>320</v>
      </c>
      <c r="I76" s="148" t="s">
        <v>267</v>
      </c>
      <c r="J76" s="146">
        <v>503</v>
      </c>
      <c r="K76" s="146">
        <v>182</v>
      </c>
      <c r="L76" s="146">
        <v>321</v>
      </c>
      <c r="M76" s="146">
        <v>506</v>
      </c>
      <c r="N76" s="149">
        <v>193</v>
      </c>
      <c r="O76" s="146">
        <v>313</v>
      </c>
      <c r="P76" s="146">
        <v>530</v>
      </c>
      <c r="Q76" s="149">
        <v>194</v>
      </c>
      <c r="R76" s="146">
        <v>336</v>
      </c>
      <c r="S76" s="146">
        <v>423</v>
      </c>
      <c r="T76" s="149">
        <v>162</v>
      </c>
      <c r="U76" s="146">
        <v>261</v>
      </c>
      <c r="V76" s="146">
        <v>430</v>
      </c>
      <c r="W76" s="149">
        <v>169</v>
      </c>
      <c r="X76" s="151">
        <v>261</v>
      </c>
      <c r="Y76" s="146">
        <v>379</v>
      </c>
      <c r="Z76" s="149">
        <v>137</v>
      </c>
      <c r="AA76" s="151">
        <v>242</v>
      </c>
      <c r="AB76" s="146">
        <v>357</v>
      </c>
      <c r="AC76" s="149">
        <v>160</v>
      </c>
      <c r="AD76" s="227">
        <v>197</v>
      </c>
      <c r="AE76" s="146">
        <v>351</v>
      </c>
      <c r="AF76" s="149">
        <v>145</v>
      </c>
      <c r="AG76" s="149">
        <v>206</v>
      </c>
    </row>
    <row r="77" spans="1:33" ht="12">
      <c r="A77" s="144" t="s">
        <v>268</v>
      </c>
      <c r="B77" s="147">
        <v>539</v>
      </c>
      <c r="C77" s="147">
        <v>208</v>
      </c>
      <c r="D77" s="147">
        <v>331</v>
      </c>
      <c r="E77" s="148" t="s">
        <v>268</v>
      </c>
      <c r="F77" s="146">
        <v>565</v>
      </c>
      <c r="G77" s="146">
        <v>210</v>
      </c>
      <c r="H77" s="146">
        <v>355</v>
      </c>
      <c r="I77" s="148" t="s">
        <v>268</v>
      </c>
      <c r="J77" s="146">
        <v>517</v>
      </c>
      <c r="K77" s="146">
        <v>203</v>
      </c>
      <c r="L77" s="146">
        <v>314</v>
      </c>
      <c r="M77" s="146">
        <v>503</v>
      </c>
      <c r="N77" s="149">
        <v>182</v>
      </c>
      <c r="O77" s="146">
        <v>321</v>
      </c>
      <c r="P77" s="146">
        <v>506</v>
      </c>
      <c r="Q77" s="149">
        <v>193</v>
      </c>
      <c r="R77" s="146">
        <v>313</v>
      </c>
      <c r="S77" s="146">
        <v>530</v>
      </c>
      <c r="T77" s="149">
        <v>194</v>
      </c>
      <c r="U77" s="146">
        <v>336</v>
      </c>
      <c r="V77" s="146">
        <v>423</v>
      </c>
      <c r="W77" s="149">
        <v>162</v>
      </c>
      <c r="X77" s="146">
        <v>261</v>
      </c>
      <c r="Y77" s="146">
        <v>430</v>
      </c>
      <c r="Z77" s="149">
        <v>169</v>
      </c>
      <c r="AA77" s="151">
        <v>261</v>
      </c>
      <c r="AB77" s="146">
        <v>379</v>
      </c>
      <c r="AC77" s="149">
        <v>137</v>
      </c>
      <c r="AD77" s="151">
        <v>242</v>
      </c>
      <c r="AE77" s="146">
        <v>357</v>
      </c>
      <c r="AF77" s="149">
        <v>160</v>
      </c>
      <c r="AG77" s="151">
        <v>197</v>
      </c>
    </row>
    <row r="78" spans="1:12" ht="12">
      <c r="A78" s="140" t="s">
        <v>269</v>
      </c>
      <c r="B78" s="141">
        <v>2748</v>
      </c>
      <c r="C78" s="141">
        <v>1076</v>
      </c>
      <c r="D78" s="141">
        <v>1672</v>
      </c>
      <c r="E78" s="142" t="s">
        <v>269</v>
      </c>
      <c r="F78" s="143">
        <v>2682</v>
      </c>
      <c r="G78" s="143">
        <v>1028</v>
      </c>
      <c r="H78" s="143">
        <v>1654</v>
      </c>
      <c r="I78" s="142" t="s">
        <v>269</v>
      </c>
      <c r="J78" s="143">
        <v>2479</v>
      </c>
      <c r="K78" s="143">
        <v>934</v>
      </c>
      <c r="L78" s="143">
        <v>1545</v>
      </c>
    </row>
    <row r="79" spans="1:33" ht="12">
      <c r="A79" s="144" t="s">
        <v>270</v>
      </c>
      <c r="B79" s="147">
        <v>610</v>
      </c>
      <c r="C79" s="147">
        <v>189</v>
      </c>
      <c r="D79" s="147">
        <v>421</v>
      </c>
      <c r="E79" s="148" t="s">
        <v>270</v>
      </c>
      <c r="F79" s="146">
        <v>517</v>
      </c>
      <c r="G79" s="146">
        <v>189</v>
      </c>
      <c r="H79" s="146">
        <v>328</v>
      </c>
      <c r="I79" s="148" t="s">
        <v>270</v>
      </c>
      <c r="J79" s="146">
        <v>550</v>
      </c>
      <c r="K79" s="146">
        <v>198</v>
      </c>
      <c r="L79" s="146">
        <v>352</v>
      </c>
      <c r="M79" s="146">
        <v>517</v>
      </c>
      <c r="N79" s="226">
        <v>203</v>
      </c>
      <c r="O79" s="146">
        <v>314</v>
      </c>
      <c r="P79" s="146">
        <v>503</v>
      </c>
      <c r="Q79" s="150">
        <v>182</v>
      </c>
      <c r="R79" s="146">
        <v>321</v>
      </c>
      <c r="S79" s="146">
        <v>506</v>
      </c>
      <c r="T79" s="149">
        <v>193</v>
      </c>
      <c r="U79" s="146">
        <v>313</v>
      </c>
      <c r="V79" s="146">
        <v>530</v>
      </c>
      <c r="W79" s="149">
        <v>194</v>
      </c>
      <c r="X79" s="146">
        <v>336</v>
      </c>
      <c r="Y79" s="146">
        <v>423</v>
      </c>
      <c r="Z79" s="149">
        <v>162</v>
      </c>
      <c r="AA79" s="146">
        <v>261</v>
      </c>
      <c r="AB79" s="146">
        <v>430</v>
      </c>
      <c r="AC79" s="149">
        <v>169</v>
      </c>
      <c r="AD79" s="151">
        <v>261</v>
      </c>
      <c r="AE79" s="146">
        <v>379</v>
      </c>
      <c r="AF79" s="149">
        <v>137</v>
      </c>
      <c r="AG79" s="151">
        <v>242</v>
      </c>
    </row>
    <row r="80" spans="1:33" ht="12">
      <c r="A80" s="144" t="s">
        <v>271</v>
      </c>
      <c r="B80" s="147">
        <v>577</v>
      </c>
      <c r="C80" s="147">
        <v>191</v>
      </c>
      <c r="D80" s="147">
        <v>386</v>
      </c>
      <c r="E80" s="148" t="s">
        <v>271</v>
      </c>
      <c r="F80" s="146">
        <v>597</v>
      </c>
      <c r="G80" s="146">
        <v>178</v>
      </c>
      <c r="H80" s="146">
        <v>419</v>
      </c>
      <c r="I80" s="148" t="s">
        <v>271</v>
      </c>
      <c r="J80" s="146">
        <v>497</v>
      </c>
      <c r="K80" s="146">
        <v>176</v>
      </c>
      <c r="L80" s="146">
        <v>321</v>
      </c>
      <c r="M80" s="146">
        <v>550</v>
      </c>
      <c r="N80" s="146">
        <v>198</v>
      </c>
      <c r="O80" s="146">
        <v>352</v>
      </c>
      <c r="P80" s="146">
        <v>517</v>
      </c>
      <c r="Q80" s="224">
        <v>203</v>
      </c>
      <c r="R80" s="146">
        <v>314</v>
      </c>
      <c r="S80" s="146">
        <v>503</v>
      </c>
      <c r="T80" s="224">
        <v>182</v>
      </c>
      <c r="U80" s="146">
        <v>321</v>
      </c>
      <c r="V80" s="146">
        <v>506</v>
      </c>
      <c r="W80" s="149">
        <v>193</v>
      </c>
      <c r="X80" s="146">
        <v>313</v>
      </c>
      <c r="Y80" s="146">
        <v>530</v>
      </c>
      <c r="Z80" s="149">
        <v>194</v>
      </c>
      <c r="AA80" s="146">
        <v>336</v>
      </c>
      <c r="AB80" s="146">
        <v>423</v>
      </c>
      <c r="AC80" s="149">
        <v>162</v>
      </c>
      <c r="AD80" s="146">
        <v>261</v>
      </c>
      <c r="AE80" s="146">
        <v>430</v>
      </c>
      <c r="AF80" s="149">
        <v>169</v>
      </c>
      <c r="AG80" s="151">
        <v>261</v>
      </c>
    </row>
    <row r="81" spans="1:33" ht="12">
      <c r="A81" s="144" t="s">
        <v>272</v>
      </c>
      <c r="B81" s="147">
        <v>567</v>
      </c>
      <c r="C81" s="147">
        <v>222</v>
      </c>
      <c r="D81" s="147">
        <v>345</v>
      </c>
      <c r="E81" s="148" t="s">
        <v>272</v>
      </c>
      <c r="F81" s="146">
        <v>544</v>
      </c>
      <c r="G81" s="146">
        <v>170</v>
      </c>
      <c r="H81" s="146">
        <v>374</v>
      </c>
      <c r="I81" s="148" t="s">
        <v>272</v>
      </c>
      <c r="J81" s="146">
        <v>578</v>
      </c>
      <c r="K81" s="146">
        <v>164</v>
      </c>
      <c r="L81" s="146">
        <v>414</v>
      </c>
      <c r="M81" s="146">
        <v>497</v>
      </c>
      <c r="N81" s="146">
        <v>176</v>
      </c>
      <c r="O81" s="146">
        <v>321</v>
      </c>
      <c r="P81" s="146">
        <v>550</v>
      </c>
      <c r="Q81" s="146">
        <v>198</v>
      </c>
      <c r="R81" s="146">
        <v>352</v>
      </c>
      <c r="S81" s="146">
        <v>517</v>
      </c>
      <c r="T81" s="225">
        <v>203</v>
      </c>
      <c r="U81" s="146">
        <v>314</v>
      </c>
      <c r="V81" s="146">
        <v>503</v>
      </c>
      <c r="W81" s="150">
        <v>182</v>
      </c>
      <c r="X81" s="146">
        <v>321</v>
      </c>
      <c r="Y81" s="146">
        <v>506</v>
      </c>
      <c r="Z81" s="224">
        <v>193</v>
      </c>
      <c r="AA81" s="146">
        <v>313</v>
      </c>
      <c r="AB81" s="146">
        <v>530</v>
      </c>
      <c r="AC81" s="149">
        <v>194</v>
      </c>
      <c r="AD81" s="146">
        <v>336</v>
      </c>
      <c r="AE81" s="146">
        <v>423</v>
      </c>
      <c r="AF81" s="149">
        <v>162</v>
      </c>
      <c r="AG81" s="146">
        <v>261</v>
      </c>
    </row>
    <row r="82" spans="1:33" ht="12">
      <c r="A82" s="144" t="s">
        <v>273</v>
      </c>
      <c r="B82" s="147">
        <v>609</v>
      </c>
      <c r="C82" s="147">
        <v>224</v>
      </c>
      <c r="D82" s="147">
        <v>385</v>
      </c>
      <c r="E82" s="148" t="s">
        <v>273</v>
      </c>
      <c r="F82" s="146">
        <v>546</v>
      </c>
      <c r="G82" s="146">
        <v>208</v>
      </c>
      <c r="H82" s="146">
        <v>338</v>
      </c>
      <c r="I82" s="148" t="s">
        <v>273</v>
      </c>
      <c r="J82" s="146">
        <v>521</v>
      </c>
      <c r="K82" s="146">
        <v>154</v>
      </c>
      <c r="L82" s="146">
        <v>367</v>
      </c>
      <c r="M82" s="146">
        <v>578</v>
      </c>
      <c r="N82" s="146">
        <v>164</v>
      </c>
      <c r="O82" s="146">
        <v>414</v>
      </c>
      <c r="P82" s="146">
        <v>497</v>
      </c>
      <c r="Q82" s="146">
        <v>176</v>
      </c>
      <c r="R82" s="146">
        <v>321</v>
      </c>
      <c r="S82" s="146">
        <v>550</v>
      </c>
      <c r="T82" s="146">
        <v>198</v>
      </c>
      <c r="U82" s="146">
        <v>352</v>
      </c>
      <c r="V82" s="146">
        <v>517</v>
      </c>
      <c r="W82" s="151">
        <v>203</v>
      </c>
      <c r="X82" s="146">
        <v>314</v>
      </c>
      <c r="Y82" s="146">
        <v>503</v>
      </c>
      <c r="Z82" s="151">
        <v>182</v>
      </c>
      <c r="AA82" s="146">
        <v>321</v>
      </c>
      <c r="AB82" s="146">
        <v>506</v>
      </c>
      <c r="AC82" s="223">
        <v>193</v>
      </c>
      <c r="AD82" s="146">
        <v>313</v>
      </c>
      <c r="AE82" s="146">
        <v>530</v>
      </c>
      <c r="AF82" s="149">
        <v>194</v>
      </c>
      <c r="AG82" s="146">
        <v>336</v>
      </c>
    </row>
    <row r="83" spans="1:33" ht="12">
      <c r="A83" s="144" t="s">
        <v>274</v>
      </c>
      <c r="B83" s="147">
        <v>558</v>
      </c>
      <c r="C83" s="147">
        <v>185</v>
      </c>
      <c r="D83" s="147">
        <v>373</v>
      </c>
      <c r="E83" s="148" t="s">
        <v>274</v>
      </c>
      <c r="F83" s="146">
        <v>581</v>
      </c>
      <c r="G83" s="146">
        <v>203</v>
      </c>
      <c r="H83" s="146">
        <v>378</v>
      </c>
      <c r="I83" s="148" t="s">
        <v>274</v>
      </c>
      <c r="J83" s="146">
        <v>528</v>
      </c>
      <c r="K83" s="146">
        <v>196</v>
      </c>
      <c r="L83" s="146">
        <v>332</v>
      </c>
      <c r="M83" s="146">
        <v>521</v>
      </c>
      <c r="N83" s="146">
        <v>154</v>
      </c>
      <c r="O83" s="146">
        <v>367</v>
      </c>
      <c r="P83" s="146">
        <v>578</v>
      </c>
      <c r="Q83" s="146">
        <v>164</v>
      </c>
      <c r="R83" s="146">
        <v>414</v>
      </c>
      <c r="S83" s="146">
        <v>497</v>
      </c>
      <c r="T83" s="146">
        <v>176</v>
      </c>
      <c r="U83" s="146">
        <v>321</v>
      </c>
      <c r="V83" s="146">
        <v>550</v>
      </c>
      <c r="W83" s="146">
        <v>198</v>
      </c>
      <c r="X83" s="146">
        <v>352</v>
      </c>
      <c r="Y83" s="146">
        <v>517</v>
      </c>
      <c r="Z83" s="151">
        <v>203</v>
      </c>
      <c r="AA83" s="146">
        <v>314</v>
      </c>
      <c r="AB83" s="146">
        <v>503</v>
      </c>
      <c r="AC83" s="151">
        <v>182</v>
      </c>
      <c r="AD83" s="146">
        <v>321</v>
      </c>
      <c r="AE83" s="146">
        <v>506</v>
      </c>
      <c r="AF83" s="151">
        <v>193</v>
      </c>
      <c r="AG83" s="146">
        <v>313</v>
      </c>
    </row>
    <row r="84" spans="1:33" ht="12">
      <c r="A84" s="140" t="s">
        <v>275</v>
      </c>
      <c r="B84" s="141">
        <v>2921</v>
      </c>
      <c r="C84" s="141">
        <v>1011</v>
      </c>
      <c r="D84" s="141">
        <v>1910</v>
      </c>
      <c r="E84" s="142" t="s">
        <v>275</v>
      </c>
      <c r="F84" s="143">
        <v>2785</v>
      </c>
      <c r="G84" s="143">
        <v>948</v>
      </c>
      <c r="H84" s="143">
        <v>1837</v>
      </c>
      <c r="I84" s="142" t="s">
        <v>275</v>
      </c>
      <c r="J84" s="143">
        <f>SUM(J79:J83)</f>
        <v>2674</v>
      </c>
      <c r="K84" s="143">
        <f>SUM(K79:K83)</f>
        <v>888</v>
      </c>
      <c r="L84" s="143">
        <f>SUM(L79:L83)</f>
        <v>1786</v>
      </c>
      <c r="M84" s="143">
        <f>SUM(M79:M83)</f>
        <v>2663</v>
      </c>
      <c r="N84" s="143">
        <f>SUM(N80:N83)+N79/2</f>
        <v>793.5</v>
      </c>
      <c r="O84" s="143">
        <f>SUM(O79:O83)</f>
        <v>1768</v>
      </c>
      <c r="P84" s="143">
        <v>1786</v>
      </c>
      <c r="Q84" s="143">
        <f>SUM(Q80:Q83)+Q79/2</f>
        <v>832</v>
      </c>
      <c r="R84" s="143">
        <f>SUM(R79:R83)</f>
        <v>1722</v>
      </c>
      <c r="S84" s="143">
        <v>1786</v>
      </c>
      <c r="T84" s="143">
        <f>T83+T82+T81/2</f>
        <v>475.5</v>
      </c>
      <c r="U84" s="143">
        <f>SUM(U79:U83)</f>
        <v>1621</v>
      </c>
      <c r="V84" s="143">
        <v>1786</v>
      </c>
      <c r="W84" s="143">
        <f>W83+W82+W81/2</f>
        <v>492</v>
      </c>
      <c r="X84" s="143">
        <f>SUM(X79:X83)</f>
        <v>1636</v>
      </c>
      <c r="Y84" s="143">
        <v>1786</v>
      </c>
      <c r="Z84" s="143">
        <f>Z82+Z83</f>
        <v>385</v>
      </c>
      <c r="AA84" s="143">
        <f>SUM(AA79:AA83)</f>
        <v>1545</v>
      </c>
      <c r="AB84" s="143">
        <v>1786</v>
      </c>
      <c r="AC84" s="143">
        <f>AC83</f>
        <v>182</v>
      </c>
      <c r="AD84" s="143">
        <f>SUM(AD79:AD83)</f>
        <v>1492</v>
      </c>
      <c r="AE84" s="143">
        <v>1786</v>
      </c>
      <c r="AF84" s="143">
        <f>AF83</f>
        <v>193</v>
      </c>
      <c r="AG84" s="143">
        <f>SUM(AG79:AG83)</f>
        <v>1413</v>
      </c>
    </row>
    <row r="85" spans="1:33" ht="12">
      <c r="A85" s="144" t="s">
        <v>276</v>
      </c>
      <c r="B85" s="147">
        <v>510</v>
      </c>
      <c r="C85" s="147">
        <v>176</v>
      </c>
      <c r="D85" s="147">
        <v>334</v>
      </c>
      <c r="E85" s="148" t="s">
        <v>276</v>
      </c>
      <c r="F85" s="146">
        <v>523</v>
      </c>
      <c r="G85" s="146">
        <v>162</v>
      </c>
      <c r="H85" s="146">
        <v>361</v>
      </c>
      <c r="I85" s="148" t="s">
        <v>276</v>
      </c>
      <c r="J85" s="146">
        <v>559</v>
      </c>
      <c r="K85" s="146">
        <v>190</v>
      </c>
      <c r="L85" s="146">
        <v>369</v>
      </c>
      <c r="M85" s="146">
        <v>528</v>
      </c>
      <c r="N85" s="146">
        <v>196</v>
      </c>
      <c r="O85" s="146">
        <v>332</v>
      </c>
      <c r="P85" s="146">
        <v>521</v>
      </c>
      <c r="Q85" s="146">
        <v>154</v>
      </c>
      <c r="R85" s="146">
        <v>367</v>
      </c>
      <c r="S85" s="146">
        <v>578</v>
      </c>
      <c r="T85" s="146">
        <v>164</v>
      </c>
      <c r="U85" s="146">
        <v>414</v>
      </c>
      <c r="V85" s="146">
        <v>497</v>
      </c>
      <c r="W85" s="146">
        <v>176</v>
      </c>
      <c r="X85" s="146">
        <v>321</v>
      </c>
      <c r="Y85" s="146">
        <v>550</v>
      </c>
      <c r="Z85" s="146">
        <v>198</v>
      </c>
      <c r="AA85" s="146">
        <v>352</v>
      </c>
      <c r="AB85" s="146">
        <v>517</v>
      </c>
      <c r="AC85" s="151">
        <v>203</v>
      </c>
      <c r="AD85" s="146">
        <v>314</v>
      </c>
      <c r="AE85" s="146">
        <v>503</v>
      </c>
      <c r="AF85" s="151">
        <v>182</v>
      </c>
      <c r="AG85" s="146">
        <v>321</v>
      </c>
    </row>
    <row r="86" spans="1:33" ht="12">
      <c r="A86" s="144" t="s">
        <v>277</v>
      </c>
      <c r="B86" s="147">
        <v>511</v>
      </c>
      <c r="C86" s="147">
        <v>182</v>
      </c>
      <c r="D86" s="147">
        <v>329</v>
      </c>
      <c r="E86" s="148" t="s">
        <v>277</v>
      </c>
      <c r="F86" s="146">
        <v>484</v>
      </c>
      <c r="G86" s="146">
        <v>162</v>
      </c>
      <c r="H86" s="146">
        <v>322</v>
      </c>
      <c r="I86" s="148" t="s">
        <v>277</v>
      </c>
      <c r="J86" s="146">
        <v>506</v>
      </c>
      <c r="K86" s="146">
        <v>151</v>
      </c>
      <c r="L86" s="146">
        <v>355</v>
      </c>
      <c r="M86" s="146">
        <v>559</v>
      </c>
      <c r="N86" s="146">
        <v>190</v>
      </c>
      <c r="O86" s="146">
        <v>369</v>
      </c>
      <c r="P86" s="146">
        <v>528</v>
      </c>
      <c r="Q86" s="146">
        <v>196</v>
      </c>
      <c r="R86" s="146">
        <v>332</v>
      </c>
      <c r="S86" s="146">
        <v>521</v>
      </c>
      <c r="T86" s="146">
        <v>154</v>
      </c>
      <c r="U86" s="146">
        <v>367</v>
      </c>
      <c r="V86" s="146">
        <v>578</v>
      </c>
      <c r="W86" s="146">
        <v>164</v>
      </c>
      <c r="X86" s="146">
        <v>414</v>
      </c>
      <c r="Y86" s="146">
        <v>497</v>
      </c>
      <c r="Z86" s="146">
        <v>176</v>
      </c>
      <c r="AA86" s="146">
        <v>321</v>
      </c>
      <c r="AB86" s="146">
        <v>550</v>
      </c>
      <c r="AC86" s="146">
        <v>198</v>
      </c>
      <c r="AD86" s="146">
        <v>352</v>
      </c>
      <c r="AE86" s="146">
        <v>517</v>
      </c>
      <c r="AF86" s="151">
        <v>203</v>
      </c>
      <c r="AG86" s="146">
        <v>314</v>
      </c>
    </row>
    <row r="87" spans="1:33" ht="12">
      <c r="A87" s="144" t="s">
        <v>278</v>
      </c>
      <c r="B87" s="147">
        <v>454</v>
      </c>
      <c r="C87" s="147">
        <v>155</v>
      </c>
      <c r="D87" s="147">
        <v>299</v>
      </c>
      <c r="E87" s="148" t="s">
        <v>278</v>
      </c>
      <c r="F87" s="146">
        <v>491</v>
      </c>
      <c r="G87" s="146">
        <v>170</v>
      </c>
      <c r="H87" s="146">
        <v>321</v>
      </c>
      <c r="I87" s="148" t="s">
        <v>278</v>
      </c>
      <c r="J87" s="146">
        <v>456</v>
      </c>
      <c r="K87" s="146">
        <v>143</v>
      </c>
      <c r="L87" s="146">
        <v>313</v>
      </c>
      <c r="M87" s="146">
        <v>506</v>
      </c>
      <c r="N87" s="146">
        <v>151</v>
      </c>
      <c r="O87" s="146">
        <v>355</v>
      </c>
      <c r="P87" s="146">
        <v>559</v>
      </c>
      <c r="Q87" s="146">
        <v>190</v>
      </c>
      <c r="R87" s="146">
        <v>369</v>
      </c>
      <c r="S87" s="146">
        <v>528</v>
      </c>
      <c r="T87" s="146">
        <v>196</v>
      </c>
      <c r="U87" s="146">
        <v>332</v>
      </c>
      <c r="V87" s="146">
        <v>521</v>
      </c>
      <c r="W87" s="146">
        <v>154</v>
      </c>
      <c r="X87" s="146">
        <v>367</v>
      </c>
      <c r="Y87" s="146">
        <v>578</v>
      </c>
      <c r="Z87" s="146">
        <v>164</v>
      </c>
      <c r="AA87" s="146">
        <v>414</v>
      </c>
      <c r="AB87" s="146">
        <v>497</v>
      </c>
      <c r="AC87" s="146">
        <v>176</v>
      </c>
      <c r="AD87" s="146">
        <v>321</v>
      </c>
      <c r="AE87" s="146">
        <v>550</v>
      </c>
      <c r="AF87" s="146">
        <v>198</v>
      </c>
      <c r="AG87" s="146">
        <v>352</v>
      </c>
    </row>
    <row r="88" spans="1:33" ht="12">
      <c r="A88" s="144" t="s">
        <v>279</v>
      </c>
      <c r="B88" s="147">
        <v>398</v>
      </c>
      <c r="C88" s="147">
        <v>136</v>
      </c>
      <c r="D88" s="147">
        <v>262</v>
      </c>
      <c r="E88" s="148" t="s">
        <v>279</v>
      </c>
      <c r="F88" s="146">
        <v>422</v>
      </c>
      <c r="G88" s="146">
        <v>136</v>
      </c>
      <c r="H88" s="146">
        <v>286</v>
      </c>
      <c r="I88" s="148" t="s">
        <v>279</v>
      </c>
      <c r="J88" s="146">
        <v>477</v>
      </c>
      <c r="K88" s="146">
        <v>163</v>
      </c>
      <c r="L88" s="146">
        <v>314</v>
      </c>
      <c r="M88" s="146">
        <v>456</v>
      </c>
      <c r="N88" s="146">
        <v>143</v>
      </c>
      <c r="O88" s="146">
        <v>313</v>
      </c>
      <c r="P88" s="146">
        <v>506</v>
      </c>
      <c r="Q88" s="146">
        <v>151</v>
      </c>
      <c r="R88" s="146">
        <v>355</v>
      </c>
      <c r="S88" s="146">
        <v>559</v>
      </c>
      <c r="T88" s="146">
        <v>190</v>
      </c>
      <c r="U88" s="146">
        <v>369</v>
      </c>
      <c r="V88" s="146">
        <v>528</v>
      </c>
      <c r="W88" s="146">
        <v>196</v>
      </c>
      <c r="X88" s="146">
        <v>332</v>
      </c>
      <c r="Y88" s="146">
        <v>521</v>
      </c>
      <c r="Z88" s="146">
        <v>154</v>
      </c>
      <c r="AA88" s="146">
        <v>367</v>
      </c>
      <c r="AB88" s="146">
        <v>578</v>
      </c>
      <c r="AC88" s="146">
        <v>164</v>
      </c>
      <c r="AD88" s="146">
        <v>414</v>
      </c>
      <c r="AE88" s="146">
        <v>497</v>
      </c>
      <c r="AF88" s="146">
        <v>176</v>
      </c>
      <c r="AG88" s="146">
        <v>321</v>
      </c>
    </row>
    <row r="89" spans="1:33" ht="12">
      <c r="A89" s="144" t="s">
        <v>280</v>
      </c>
      <c r="B89" s="147">
        <v>331</v>
      </c>
      <c r="C89" s="147">
        <v>117</v>
      </c>
      <c r="D89" s="147">
        <v>214</v>
      </c>
      <c r="E89" s="148" t="s">
        <v>280</v>
      </c>
      <c r="F89" s="146">
        <v>372</v>
      </c>
      <c r="G89" s="146">
        <v>118</v>
      </c>
      <c r="H89" s="146">
        <v>254</v>
      </c>
      <c r="I89" s="148" t="s">
        <v>280</v>
      </c>
      <c r="J89" s="146">
        <v>408</v>
      </c>
      <c r="K89" s="146">
        <v>126</v>
      </c>
      <c r="L89" s="146">
        <v>282</v>
      </c>
      <c r="M89" s="146">
        <v>477</v>
      </c>
      <c r="N89" s="146">
        <v>163</v>
      </c>
      <c r="O89" s="146">
        <v>314</v>
      </c>
      <c r="P89" s="146">
        <v>456</v>
      </c>
      <c r="Q89" s="146">
        <v>143</v>
      </c>
      <c r="R89" s="146">
        <v>313</v>
      </c>
      <c r="S89" s="146">
        <v>506</v>
      </c>
      <c r="T89" s="146">
        <v>151</v>
      </c>
      <c r="U89" s="146">
        <v>355</v>
      </c>
      <c r="V89" s="146">
        <v>559</v>
      </c>
      <c r="W89" s="146">
        <v>190</v>
      </c>
      <c r="X89" s="146">
        <v>369</v>
      </c>
      <c r="Y89" s="146">
        <v>528</v>
      </c>
      <c r="Z89" s="146">
        <v>196</v>
      </c>
      <c r="AA89" s="146">
        <v>332</v>
      </c>
      <c r="AB89" s="146">
        <v>521</v>
      </c>
      <c r="AC89" s="146">
        <v>154</v>
      </c>
      <c r="AD89" s="146">
        <v>367</v>
      </c>
      <c r="AE89" s="146">
        <v>578</v>
      </c>
      <c r="AF89" s="146">
        <v>164</v>
      </c>
      <c r="AG89" s="146">
        <v>414</v>
      </c>
    </row>
    <row r="90" spans="1:33" ht="12">
      <c r="A90" s="140" t="s">
        <v>281</v>
      </c>
      <c r="B90" s="141">
        <v>2204</v>
      </c>
      <c r="C90" s="141">
        <v>766</v>
      </c>
      <c r="D90" s="141">
        <v>1438</v>
      </c>
      <c r="E90" s="142" t="s">
        <v>281</v>
      </c>
      <c r="F90" s="143">
        <v>2292</v>
      </c>
      <c r="G90" s="143">
        <v>748</v>
      </c>
      <c r="H90" s="143">
        <v>1544</v>
      </c>
      <c r="I90" s="142" t="s">
        <v>281</v>
      </c>
      <c r="J90" s="143">
        <f>SUM(J85:J89)</f>
        <v>2406</v>
      </c>
      <c r="K90" s="143">
        <f aca="true" t="shared" si="0" ref="K90:AG90">SUM(K85:K89)</f>
        <v>773</v>
      </c>
      <c r="L90" s="143">
        <f t="shared" si="0"/>
        <v>1633</v>
      </c>
      <c r="M90" s="143">
        <f>SUM(M85:M89)</f>
        <v>2526</v>
      </c>
      <c r="N90" s="143">
        <f t="shared" si="0"/>
        <v>843</v>
      </c>
      <c r="O90" s="143">
        <f t="shared" si="0"/>
        <v>1683</v>
      </c>
      <c r="P90" s="143">
        <f t="shared" si="0"/>
        <v>2570</v>
      </c>
      <c r="Q90" s="143">
        <f t="shared" si="0"/>
        <v>834</v>
      </c>
      <c r="R90" s="143">
        <f t="shared" si="0"/>
        <v>1736</v>
      </c>
      <c r="S90" s="143">
        <f t="shared" si="0"/>
        <v>2692</v>
      </c>
      <c r="T90" s="143">
        <f t="shared" si="0"/>
        <v>855</v>
      </c>
      <c r="U90" s="143">
        <f t="shared" si="0"/>
        <v>1837</v>
      </c>
      <c r="V90" s="143">
        <f t="shared" si="0"/>
        <v>2683</v>
      </c>
      <c r="W90" s="143">
        <f t="shared" si="0"/>
        <v>880</v>
      </c>
      <c r="X90" s="143">
        <f t="shared" si="0"/>
        <v>1803</v>
      </c>
      <c r="Y90" s="143">
        <f t="shared" si="0"/>
        <v>2674</v>
      </c>
      <c r="Z90" s="143">
        <f t="shared" si="0"/>
        <v>888</v>
      </c>
      <c r="AA90" s="143">
        <f t="shared" si="0"/>
        <v>1786</v>
      </c>
      <c r="AB90" s="143">
        <f t="shared" si="0"/>
        <v>2663</v>
      </c>
      <c r="AC90" s="143">
        <f t="shared" si="0"/>
        <v>895</v>
      </c>
      <c r="AD90" s="143">
        <f t="shared" si="0"/>
        <v>1768</v>
      </c>
      <c r="AE90" s="143">
        <f t="shared" si="0"/>
        <v>2645</v>
      </c>
      <c r="AF90" s="143">
        <f t="shared" si="0"/>
        <v>923</v>
      </c>
      <c r="AG90" s="143">
        <f t="shared" si="0"/>
        <v>1722</v>
      </c>
    </row>
    <row r="91" spans="1:33" ht="24">
      <c r="A91" s="140" t="s">
        <v>282</v>
      </c>
      <c r="B91" s="141">
        <v>3205</v>
      </c>
      <c r="C91" s="141">
        <v>795</v>
      </c>
      <c r="D91" s="141">
        <v>2410</v>
      </c>
      <c r="E91" s="142" t="s">
        <v>285</v>
      </c>
      <c r="F91" s="143">
        <v>3218</v>
      </c>
      <c r="G91" s="143">
        <v>792</v>
      </c>
      <c r="H91" s="143">
        <v>2426</v>
      </c>
      <c r="I91" s="152" t="s">
        <v>288</v>
      </c>
      <c r="J91" s="146">
        <v>360</v>
      </c>
      <c r="K91" s="146">
        <v>107</v>
      </c>
      <c r="L91" s="146">
        <v>253</v>
      </c>
      <c r="M91" s="146">
        <v>408</v>
      </c>
      <c r="N91" s="146">
        <v>126</v>
      </c>
      <c r="O91" s="146">
        <v>282</v>
      </c>
      <c r="P91" s="146">
        <v>477</v>
      </c>
      <c r="Q91" s="146">
        <v>163</v>
      </c>
      <c r="R91" s="146">
        <v>314</v>
      </c>
      <c r="S91" s="146">
        <v>456</v>
      </c>
      <c r="T91" s="146">
        <v>143</v>
      </c>
      <c r="U91" s="146">
        <v>313</v>
      </c>
      <c r="V91" s="146">
        <v>506</v>
      </c>
      <c r="W91" s="146">
        <v>151</v>
      </c>
      <c r="X91" s="146">
        <v>355</v>
      </c>
      <c r="Y91" s="146">
        <v>559</v>
      </c>
      <c r="Z91" s="146">
        <v>190</v>
      </c>
      <c r="AA91" s="146">
        <v>369</v>
      </c>
      <c r="AB91" s="146">
        <v>528</v>
      </c>
      <c r="AC91" s="146">
        <v>196</v>
      </c>
      <c r="AD91" s="146">
        <v>332</v>
      </c>
      <c r="AE91" s="146">
        <v>521</v>
      </c>
      <c r="AF91" s="146">
        <v>154</v>
      </c>
      <c r="AG91" s="146">
        <v>367</v>
      </c>
    </row>
    <row r="92" spans="5:33" ht="12">
      <c r="E92" s="153"/>
      <c r="F92" s="154"/>
      <c r="G92" s="154"/>
      <c r="H92" s="154"/>
      <c r="I92" s="152" t="s">
        <v>289</v>
      </c>
      <c r="J92" s="146">
        <v>306</v>
      </c>
      <c r="K92" s="146">
        <v>102</v>
      </c>
      <c r="L92" s="146">
        <v>204</v>
      </c>
      <c r="M92" s="146">
        <v>360</v>
      </c>
      <c r="N92" s="146">
        <v>107</v>
      </c>
      <c r="O92" s="146">
        <v>253</v>
      </c>
      <c r="P92" s="146">
        <v>408</v>
      </c>
      <c r="Q92" s="146">
        <v>126</v>
      </c>
      <c r="R92" s="146">
        <v>282</v>
      </c>
      <c r="S92" s="146">
        <v>477</v>
      </c>
      <c r="T92" s="146">
        <v>163</v>
      </c>
      <c r="U92" s="146">
        <v>314</v>
      </c>
      <c r="V92" s="146">
        <v>456</v>
      </c>
      <c r="W92" s="146">
        <v>143</v>
      </c>
      <c r="X92" s="146">
        <v>313</v>
      </c>
      <c r="Y92" s="146">
        <v>506</v>
      </c>
      <c r="Z92" s="146">
        <v>151</v>
      </c>
      <c r="AA92" s="146">
        <v>355</v>
      </c>
      <c r="AB92" s="146">
        <v>559</v>
      </c>
      <c r="AC92" s="146">
        <v>190</v>
      </c>
      <c r="AD92" s="146">
        <v>369</v>
      </c>
      <c r="AE92" s="146">
        <v>528</v>
      </c>
      <c r="AF92" s="146">
        <v>196</v>
      </c>
      <c r="AG92" s="146">
        <v>332</v>
      </c>
    </row>
    <row r="93" spans="9:33" ht="12">
      <c r="I93" s="152" t="s">
        <v>290</v>
      </c>
      <c r="J93" s="146">
        <v>185</v>
      </c>
      <c r="K93" s="146">
        <v>60</v>
      </c>
      <c r="L93" s="146">
        <v>125</v>
      </c>
      <c r="M93" s="146">
        <v>306</v>
      </c>
      <c r="N93" s="146">
        <v>102</v>
      </c>
      <c r="O93" s="146">
        <v>204</v>
      </c>
      <c r="P93" s="146">
        <v>360</v>
      </c>
      <c r="Q93" s="146">
        <v>107</v>
      </c>
      <c r="R93" s="146">
        <v>253</v>
      </c>
      <c r="S93" s="146">
        <v>408</v>
      </c>
      <c r="T93" s="146">
        <v>126</v>
      </c>
      <c r="U93" s="146">
        <v>282</v>
      </c>
      <c r="V93" s="146">
        <v>477</v>
      </c>
      <c r="W93" s="146">
        <v>163</v>
      </c>
      <c r="X93" s="146">
        <v>314</v>
      </c>
      <c r="Y93" s="146">
        <v>456</v>
      </c>
      <c r="Z93" s="146">
        <v>143</v>
      </c>
      <c r="AA93" s="146">
        <v>313</v>
      </c>
      <c r="AB93" s="146">
        <v>506</v>
      </c>
      <c r="AC93" s="146">
        <v>151</v>
      </c>
      <c r="AD93" s="146">
        <v>355</v>
      </c>
      <c r="AE93" s="146">
        <v>559</v>
      </c>
      <c r="AF93" s="146">
        <v>190</v>
      </c>
      <c r="AG93" s="146">
        <v>369</v>
      </c>
    </row>
    <row r="94" spans="9:33" ht="12">
      <c r="I94" s="152" t="s">
        <v>291</v>
      </c>
      <c r="J94" s="146">
        <v>128</v>
      </c>
      <c r="K94" s="146">
        <v>43</v>
      </c>
      <c r="L94" s="146">
        <v>85</v>
      </c>
      <c r="M94" s="146">
        <v>185</v>
      </c>
      <c r="N94" s="146">
        <v>60</v>
      </c>
      <c r="O94" s="146">
        <v>125</v>
      </c>
      <c r="P94" s="146">
        <v>306</v>
      </c>
      <c r="Q94" s="146">
        <v>102</v>
      </c>
      <c r="R94" s="146">
        <v>204</v>
      </c>
      <c r="S94" s="146">
        <v>360</v>
      </c>
      <c r="T94" s="146">
        <v>107</v>
      </c>
      <c r="U94" s="146">
        <v>253</v>
      </c>
      <c r="V94" s="146">
        <v>408</v>
      </c>
      <c r="W94" s="146">
        <v>126</v>
      </c>
      <c r="X94" s="146">
        <v>282</v>
      </c>
      <c r="Y94" s="146">
        <v>477</v>
      </c>
      <c r="Z94" s="146">
        <v>163</v>
      </c>
      <c r="AA94" s="146">
        <v>314</v>
      </c>
      <c r="AB94" s="146">
        <v>456</v>
      </c>
      <c r="AC94" s="146">
        <v>143</v>
      </c>
      <c r="AD94" s="146">
        <v>313</v>
      </c>
      <c r="AE94" s="146">
        <v>506</v>
      </c>
      <c r="AF94" s="146">
        <v>151</v>
      </c>
      <c r="AG94" s="146">
        <v>355</v>
      </c>
    </row>
    <row r="95" spans="9:33" ht="12">
      <c r="I95" s="152" t="s">
        <v>292</v>
      </c>
      <c r="J95" s="146">
        <v>108</v>
      </c>
      <c r="K95" s="146">
        <v>24</v>
      </c>
      <c r="L95" s="146">
        <v>84</v>
      </c>
      <c r="M95" s="146">
        <v>128</v>
      </c>
      <c r="N95" s="146">
        <v>43</v>
      </c>
      <c r="O95" s="146">
        <v>85</v>
      </c>
      <c r="P95" s="146">
        <v>185</v>
      </c>
      <c r="Q95" s="146">
        <v>60</v>
      </c>
      <c r="R95" s="146">
        <v>125</v>
      </c>
      <c r="S95" s="146">
        <v>306</v>
      </c>
      <c r="T95" s="146">
        <v>102</v>
      </c>
      <c r="U95" s="146">
        <v>204</v>
      </c>
      <c r="V95" s="146">
        <v>360</v>
      </c>
      <c r="W95" s="146">
        <v>107</v>
      </c>
      <c r="X95" s="146">
        <v>253</v>
      </c>
      <c r="Y95" s="146">
        <v>408</v>
      </c>
      <c r="Z95" s="146">
        <v>126</v>
      </c>
      <c r="AA95" s="146">
        <v>282</v>
      </c>
      <c r="AB95" s="146">
        <v>477</v>
      </c>
      <c r="AC95" s="146">
        <v>163</v>
      </c>
      <c r="AD95" s="146">
        <v>314</v>
      </c>
      <c r="AE95" s="146">
        <v>456</v>
      </c>
      <c r="AF95" s="146">
        <v>143</v>
      </c>
      <c r="AG95" s="146">
        <v>313</v>
      </c>
    </row>
    <row r="96" spans="9:33" ht="12">
      <c r="I96" s="155" t="s">
        <v>293</v>
      </c>
      <c r="J96" s="143">
        <f>SUM(J91:J95)</f>
        <v>1087</v>
      </c>
      <c r="K96" s="143">
        <f aca="true" t="shared" si="1" ref="K96:AG96">SUM(K91:K95)</f>
        <v>336</v>
      </c>
      <c r="L96" s="143">
        <f t="shared" si="1"/>
        <v>751</v>
      </c>
      <c r="M96" s="143">
        <f t="shared" si="1"/>
        <v>1387</v>
      </c>
      <c r="N96" s="143">
        <f t="shared" si="1"/>
        <v>438</v>
      </c>
      <c r="O96" s="143">
        <f t="shared" si="1"/>
        <v>949</v>
      </c>
      <c r="P96" s="143">
        <f t="shared" si="1"/>
        <v>1736</v>
      </c>
      <c r="Q96" s="143">
        <f t="shared" si="1"/>
        <v>558</v>
      </c>
      <c r="R96" s="143">
        <f t="shared" si="1"/>
        <v>1178</v>
      </c>
      <c r="S96" s="143">
        <f t="shared" si="1"/>
        <v>2007</v>
      </c>
      <c r="T96" s="143">
        <f t="shared" si="1"/>
        <v>641</v>
      </c>
      <c r="U96" s="143">
        <f t="shared" si="1"/>
        <v>1366</v>
      </c>
      <c r="V96" s="143">
        <f t="shared" si="1"/>
        <v>2207</v>
      </c>
      <c r="W96" s="143">
        <f t="shared" si="1"/>
        <v>690</v>
      </c>
      <c r="X96" s="143">
        <f t="shared" si="1"/>
        <v>1517</v>
      </c>
      <c r="Y96" s="143">
        <f t="shared" si="1"/>
        <v>2406</v>
      </c>
      <c r="Z96" s="143">
        <f t="shared" si="1"/>
        <v>773</v>
      </c>
      <c r="AA96" s="143">
        <f t="shared" si="1"/>
        <v>1633</v>
      </c>
      <c r="AB96" s="143">
        <f t="shared" si="1"/>
        <v>2526</v>
      </c>
      <c r="AC96" s="143">
        <f t="shared" si="1"/>
        <v>843</v>
      </c>
      <c r="AD96" s="143">
        <f t="shared" si="1"/>
        <v>1683</v>
      </c>
      <c r="AE96" s="143">
        <f t="shared" si="1"/>
        <v>2570</v>
      </c>
      <c r="AF96" s="143">
        <f t="shared" si="1"/>
        <v>834</v>
      </c>
      <c r="AG96" s="143">
        <f t="shared" si="1"/>
        <v>1736</v>
      </c>
    </row>
    <row r="97" spans="9:33" ht="12">
      <c r="I97" s="152" t="s">
        <v>294</v>
      </c>
      <c r="J97" s="146">
        <v>160</v>
      </c>
      <c r="K97" s="146">
        <v>40</v>
      </c>
      <c r="L97" s="146">
        <v>120</v>
      </c>
      <c r="M97" s="146">
        <v>108</v>
      </c>
      <c r="N97" s="146">
        <v>24</v>
      </c>
      <c r="O97" s="146">
        <v>84</v>
      </c>
      <c r="P97" s="146">
        <v>128</v>
      </c>
      <c r="Q97" s="146">
        <v>43</v>
      </c>
      <c r="R97" s="146">
        <v>85</v>
      </c>
      <c r="S97" s="146">
        <v>185</v>
      </c>
      <c r="T97" s="146">
        <v>60</v>
      </c>
      <c r="U97" s="146">
        <v>125</v>
      </c>
      <c r="V97" s="146">
        <v>306</v>
      </c>
      <c r="W97" s="146">
        <v>102</v>
      </c>
      <c r="X97" s="146">
        <v>204</v>
      </c>
      <c r="Y97" s="146">
        <v>360</v>
      </c>
      <c r="Z97" s="146">
        <v>107</v>
      </c>
      <c r="AA97" s="146">
        <v>253</v>
      </c>
      <c r="AB97" s="146">
        <v>408</v>
      </c>
      <c r="AC97" s="146">
        <v>126</v>
      </c>
      <c r="AD97" s="146">
        <v>282</v>
      </c>
      <c r="AE97" s="146">
        <v>477</v>
      </c>
      <c r="AF97" s="146">
        <v>163</v>
      </c>
      <c r="AG97" s="146">
        <v>314</v>
      </c>
    </row>
    <row r="98" spans="9:33" ht="12">
      <c r="I98" s="152" t="s">
        <v>295</v>
      </c>
      <c r="J98" s="146">
        <v>229</v>
      </c>
      <c r="K98" s="146">
        <v>65</v>
      </c>
      <c r="L98" s="146">
        <v>164</v>
      </c>
      <c r="M98" s="146">
        <v>160</v>
      </c>
      <c r="N98" s="146">
        <v>40</v>
      </c>
      <c r="O98" s="146">
        <v>120</v>
      </c>
      <c r="P98" s="146">
        <v>108</v>
      </c>
      <c r="Q98" s="146">
        <v>24</v>
      </c>
      <c r="R98" s="146">
        <v>84</v>
      </c>
      <c r="S98" s="146">
        <v>128</v>
      </c>
      <c r="T98" s="146">
        <v>43</v>
      </c>
      <c r="U98" s="146">
        <v>85</v>
      </c>
      <c r="V98" s="146">
        <v>185</v>
      </c>
      <c r="W98" s="146">
        <v>60</v>
      </c>
      <c r="X98" s="146">
        <v>125</v>
      </c>
      <c r="Y98" s="146">
        <v>306</v>
      </c>
      <c r="Z98" s="146">
        <v>102</v>
      </c>
      <c r="AA98" s="146">
        <v>204</v>
      </c>
      <c r="AB98" s="146">
        <v>360</v>
      </c>
      <c r="AC98" s="146">
        <v>107</v>
      </c>
      <c r="AD98" s="146">
        <v>253</v>
      </c>
      <c r="AE98" s="146">
        <v>408</v>
      </c>
      <c r="AF98" s="146">
        <v>126</v>
      </c>
      <c r="AG98" s="146">
        <v>282</v>
      </c>
    </row>
    <row r="99" spans="9:33" ht="12">
      <c r="I99" s="152" t="s">
        <v>296</v>
      </c>
      <c r="J99" s="146">
        <v>189</v>
      </c>
      <c r="K99" s="146">
        <v>47</v>
      </c>
      <c r="L99" s="146">
        <v>142</v>
      </c>
      <c r="M99" s="146">
        <v>229</v>
      </c>
      <c r="N99" s="146">
        <v>65</v>
      </c>
      <c r="O99" s="146">
        <v>164</v>
      </c>
      <c r="P99" s="146">
        <v>160</v>
      </c>
      <c r="Q99" s="146">
        <v>40</v>
      </c>
      <c r="R99" s="146">
        <v>120</v>
      </c>
      <c r="S99" s="146">
        <v>108</v>
      </c>
      <c r="T99" s="146">
        <v>24</v>
      </c>
      <c r="U99" s="146">
        <v>84</v>
      </c>
      <c r="V99" s="146">
        <v>128</v>
      </c>
      <c r="W99" s="146">
        <v>43</v>
      </c>
      <c r="X99" s="146">
        <v>85</v>
      </c>
      <c r="Y99" s="146">
        <v>185</v>
      </c>
      <c r="Z99" s="146">
        <v>60</v>
      </c>
      <c r="AA99" s="146">
        <v>125</v>
      </c>
      <c r="AB99" s="146">
        <v>306</v>
      </c>
      <c r="AC99" s="146">
        <v>102</v>
      </c>
      <c r="AD99" s="146">
        <v>204</v>
      </c>
      <c r="AE99" s="146">
        <v>360</v>
      </c>
      <c r="AF99" s="146">
        <v>107</v>
      </c>
      <c r="AG99" s="146">
        <v>253</v>
      </c>
    </row>
    <row r="100" spans="9:33" ht="12">
      <c r="I100" s="152" t="s">
        <v>297</v>
      </c>
      <c r="J100" s="146">
        <v>249</v>
      </c>
      <c r="K100" s="146">
        <v>55</v>
      </c>
      <c r="L100" s="146">
        <v>194</v>
      </c>
      <c r="M100" s="146">
        <v>189</v>
      </c>
      <c r="N100" s="146">
        <v>47</v>
      </c>
      <c r="O100" s="146">
        <v>142</v>
      </c>
      <c r="P100" s="146">
        <v>229</v>
      </c>
      <c r="Q100" s="146">
        <v>65</v>
      </c>
      <c r="R100" s="146">
        <v>164</v>
      </c>
      <c r="S100" s="146">
        <v>160</v>
      </c>
      <c r="T100" s="146">
        <v>40</v>
      </c>
      <c r="U100" s="146">
        <v>120</v>
      </c>
      <c r="V100" s="146">
        <v>108</v>
      </c>
      <c r="W100" s="146">
        <v>24</v>
      </c>
      <c r="X100" s="146">
        <v>84</v>
      </c>
      <c r="Y100" s="146">
        <v>128</v>
      </c>
      <c r="Z100" s="146">
        <v>43</v>
      </c>
      <c r="AA100" s="146">
        <v>85</v>
      </c>
      <c r="AB100" s="146">
        <v>185</v>
      </c>
      <c r="AC100" s="146">
        <v>60</v>
      </c>
      <c r="AD100" s="146">
        <v>125</v>
      </c>
      <c r="AE100" s="146">
        <v>306</v>
      </c>
      <c r="AF100" s="146">
        <v>102</v>
      </c>
      <c r="AG100" s="146">
        <v>204</v>
      </c>
    </row>
    <row r="101" spans="9:33" ht="12">
      <c r="I101" s="152" t="s">
        <v>298</v>
      </c>
      <c r="J101" s="146">
        <v>235</v>
      </c>
      <c r="K101" s="146">
        <v>45</v>
      </c>
      <c r="L101" s="146">
        <v>190</v>
      </c>
      <c r="M101" s="146">
        <v>249</v>
      </c>
      <c r="N101" s="146">
        <v>55</v>
      </c>
      <c r="O101" s="146">
        <v>194</v>
      </c>
      <c r="P101" s="146">
        <v>189</v>
      </c>
      <c r="Q101" s="146">
        <v>47</v>
      </c>
      <c r="R101" s="146">
        <v>142</v>
      </c>
      <c r="S101" s="146">
        <v>229</v>
      </c>
      <c r="T101" s="146">
        <v>65</v>
      </c>
      <c r="U101" s="146">
        <v>164</v>
      </c>
      <c r="V101" s="146">
        <v>160</v>
      </c>
      <c r="W101" s="146">
        <v>40</v>
      </c>
      <c r="X101" s="146">
        <v>120</v>
      </c>
      <c r="Y101" s="146">
        <v>108</v>
      </c>
      <c r="Z101" s="146">
        <v>24</v>
      </c>
      <c r="AA101" s="146">
        <v>84</v>
      </c>
      <c r="AB101" s="146">
        <v>128</v>
      </c>
      <c r="AC101" s="146">
        <v>43</v>
      </c>
      <c r="AD101" s="146">
        <v>85</v>
      </c>
      <c r="AE101" s="146">
        <v>185</v>
      </c>
      <c r="AF101" s="146">
        <v>60</v>
      </c>
      <c r="AG101" s="146">
        <v>125</v>
      </c>
    </row>
    <row r="102" spans="9:33" ht="12">
      <c r="I102" s="155" t="s">
        <v>299</v>
      </c>
      <c r="J102" s="143">
        <f>SUM(J97:J101)</f>
        <v>1062</v>
      </c>
      <c r="K102" s="143">
        <f aca="true" t="shared" si="2" ref="K102:AG102">SUM(K97:K101)</f>
        <v>252</v>
      </c>
      <c r="L102" s="143">
        <f t="shared" si="2"/>
        <v>810</v>
      </c>
      <c r="M102" s="143">
        <f t="shared" si="2"/>
        <v>935</v>
      </c>
      <c r="N102" s="143">
        <f t="shared" si="2"/>
        <v>231</v>
      </c>
      <c r="O102" s="143">
        <f t="shared" si="2"/>
        <v>704</v>
      </c>
      <c r="P102" s="143">
        <f t="shared" si="2"/>
        <v>814</v>
      </c>
      <c r="Q102" s="143">
        <f t="shared" si="2"/>
        <v>219</v>
      </c>
      <c r="R102" s="143">
        <f t="shared" si="2"/>
        <v>595</v>
      </c>
      <c r="S102" s="143">
        <f t="shared" si="2"/>
        <v>810</v>
      </c>
      <c r="T102" s="143">
        <f t="shared" si="2"/>
        <v>232</v>
      </c>
      <c r="U102" s="143">
        <f t="shared" si="2"/>
        <v>578</v>
      </c>
      <c r="V102" s="143">
        <f t="shared" si="2"/>
        <v>887</v>
      </c>
      <c r="W102" s="143">
        <f t="shared" si="2"/>
        <v>269</v>
      </c>
      <c r="X102" s="143">
        <f t="shared" si="2"/>
        <v>618</v>
      </c>
      <c r="Y102" s="143">
        <f t="shared" si="2"/>
        <v>1087</v>
      </c>
      <c r="Z102" s="143">
        <f t="shared" si="2"/>
        <v>336</v>
      </c>
      <c r="AA102" s="143">
        <f t="shared" si="2"/>
        <v>751</v>
      </c>
      <c r="AB102" s="143">
        <f t="shared" si="2"/>
        <v>1387</v>
      </c>
      <c r="AC102" s="143">
        <f t="shared" si="2"/>
        <v>438</v>
      </c>
      <c r="AD102" s="143">
        <f t="shared" si="2"/>
        <v>949</v>
      </c>
      <c r="AE102" s="143">
        <f t="shared" si="2"/>
        <v>1736</v>
      </c>
      <c r="AF102" s="143">
        <f t="shared" si="2"/>
        <v>558</v>
      </c>
      <c r="AG102" s="143">
        <f t="shared" si="2"/>
        <v>1178</v>
      </c>
    </row>
    <row r="103" spans="9:33" ht="12">
      <c r="I103" s="152" t="s">
        <v>300</v>
      </c>
      <c r="J103" s="146">
        <v>236</v>
      </c>
      <c r="K103" s="146">
        <v>51</v>
      </c>
      <c r="L103" s="146">
        <v>185</v>
      </c>
      <c r="M103" s="146">
        <v>235</v>
      </c>
      <c r="N103" s="146">
        <v>45</v>
      </c>
      <c r="O103" s="146">
        <v>190</v>
      </c>
      <c r="P103" s="146">
        <v>249</v>
      </c>
      <c r="Q103" s="146">
        <v>55</v>
      </c>
      <c r="R103" s="146">
        <v>194</v>
      </c>
      <c r="S103" s="146">
        <v>189</v>
      </c>
      <c r="T103" s="146">
        <v>47</v>
      </c>
      <c r="U103" s="146">
        <v>142</v>
      </c>
      <c r="V103" s="146">
        <v>229</v>
      </c>
      <c r="W103" s="146">
        <v>65</v>
      </c>
      <c r="X103" s="146">
        <v>164</v>
      </c>
      <c r="Y103" s="146">
        <v>160</v>
      </c>
      <c r="Z103" s="146">
        <v>40</v>
      </c>
      <c r="AA103" s="146">
        <v>120</v>
      </c>
      <c r="AB103" s="146">
        <v>108</v>
      </c>
      <c r="AC103" s="146">
        <v>24</v>
      </c>
      <c r="AD103" s="146">
        <v>84</v>
      </c>
      <c r="AE103" s="146">
        <v>128</v>
      </c>
      <c r="AF103" s="146">
        <v>43</v>
      </c>
      <c r="AG103" s="146">
        <v>85</v>
      </c>
    </row>
    <row r="104" spans="9:33" ht="12">
      <c r="I104" s="152" t="s">
        <v>301</v>
      </c>
      <c r="J104" s="146">
        <v>168</v>
      </c>
      <c r="K104" s="146">
        <v>36</v>
      </c>
      <c r="L104" s="146">
        <v>132</v>
      </c>
      <c r="M104" s="146">
        <v>236</v>
      </c>
      <c r="N104" s="146">
        <v>51</v>
      </c>
      <c r="O104" s="146">
        <v>185</v>
      </c>
      <c r="P104" s="146">
        <v>235</v>
      </c>
      <c r="Q104" s="146">
        <v>45</v>
      </c>
      <c r="R104" s="146">
        <v>190</v>
      </c>
      <c r="S104" s="146">
        <v>249</v>
      </c>
      <c r="T104" s="146">
        <v>55</v>
      </c>
      <c r="U104" s="146">
        <v>194</v>
      </c>
      <c r="V104" s="146">
        <v>189</v>
      </c>
      <c r="W104" s="146">
        <v>47</v>
      </c>
      <c r="X104" s="146">
        <v>142</v>
      </c>
      <c r="Y104" s="146">
        <v>229</v>
      </c>
      <c r="Z104" s="146">
        <v>65</v>
      </c>
      <c r="AA104" s="146">
        <v>164</v>
      </c>
      <c r="AB104" s="146">
        <v>160</v>
      </c>
      <c r="AC104" s="146">
        <v>40</v>
      </c>
      <c r="AD104" s="146">
        <v>120</v>
      </c>
      <c r="AE104" s="146">
        <v>108</v>
      </c>
      <c r="AF104" s="146">
        <v>24</v>
      </c>
      <c r="AG104" s="146">
        <v>84</v>
      </c>
    </row>
    <row r="105" spans="9:33" ht="12">
      <c r="I105" s="152" t="s">
        <v>302</v>
      </c>
      <c r="J105" s="146">
        <v>123</v>
      </c>
      <c r="K105" s="146">
        <v>19</v>
      </c>
      <c r="L105" s="146">
        <v>104</v>
      </c>
      <c r="M105" s="146">
        <v>168</v>
      </c>
      <c r="N105" s="146">
        <v>36</v>
      </c>
      <c r="O105" s="146">
        <v>132</v>
      </c>
      <c r="P105" s="146">
        <v>236</v>
      </c>
      <c r="Q105" s="146">
        <v>51</v>
      </c>
      <c r="R105" s="146">
        <v>185</v>
      </c>
      <c r="S105" s="146">
        <v>235</v>
      </c>
      <c r="T105" s="146">
        <v>45</v>
      </c>
      <c r="U105" s="146">
        <v>190</v>
      </c>
      <c r="V105" s="146">
        <v>249</v>
      </c>
      <c r="W105" s="146">
        <v>55</v>
      </c>
      <c r="X105" s="146">
        <v>194</v>
      </c>
      <c r="Y105" s="146">
        <v>189</v>
      </c>
      <c r="Z105" s="146">
        <v>47</v>
      </c>
      <c r="AA105" s="146">
        <v>142</v>
      </c>
      <c r="AB105" s="146">
        <v>229</v>
      </c>
      <c r="AC105" s="146">
        <v>65</v>
      </c>
      <c r="AD105" s="146">
        <v>164</v>
      </c>
      <c r="AE105" s="146">
        <v>160</v>
      </c>
      <c r="AF105" s="146">
        <v>40</v>
      </c>
      <c r="AG105" s="146">
        <v>120</v>
      </c>
    </row>
    <row r="106" spans="9:33" ht="12">
      <c r="I106" s="152" t="s">
        <v>303</v>
      </c>
      <c r="J106" s="146">
        <v>87</v>
      </c>
      <c r="K106" s="146">
        <v>17</v>
      </c>
      <c r="L106" s="146">
        <v>70</v>
      </c>
      <c r="M106" s="146">
        <v>123</v>
      </c>
      <c r="N106" s="146">
        <v>19</v>
      </c>
      <c r="O106" s="146">
        <v>104</v>
      </c>
      <c r="P106" s="146">
        <v>168</v>
      </c>
      <c r="Q106" s="146">
        <v>36</v>
      </c>
      <c r="R106" s="146">
        <v>132</v>
      </c>
      <c r="S106" s="146">
        <v>236</v>
      </c>
      <c r="T106" s="146">
        <v>51</v>
      </c>
      <c r="U106" s="146">
        <v>185</v>
      </c>
      <c r="V106" s="146">
        <v>235</v>
      </c>
      <c r="W106" s="146">
        <v>45</v>
      </c>
      <c r="X106" s="146">
        <v>190</v>
      </c>
      <c r="Y106" s="146">
        <v>249</v>
      </c>
      <c r="Z106" s="146">
        <v>55</v>
      </c>
      <c r="AA106" s="146">
        <v>194</v>
      </c>
      <c r="AB106" s="146">
        <v>189</v>
      </c>
      <c r="AC106" s="146">
        <v>47</v>
      </c>
      <c r="AD106" s="146">
        <v>142</v>
      </c>
      <c r="AE106" s="146">
        <v>229</v>
      </c>
      <c r="AF106" s="146">
        <v>65</v>
      </c>
      <c r="AG106" s="146">
        <v>164</v>
      </c>
    </row>
    <row r="107" spans="9:33" ht="12">
      <c r="I107" s="152" t="s">
        <v>304</v>
      </c>
      <c r="J107" s="146">
        <v>74</v>
      </c>
      <c r="K107" s="146">
        <v>9</v>
      </c>
      <c r="L107" s="146">
        <v>65</v>
      </c>
      <c r="M107" s="146">
        <v>87</v>
      </c>
      <c r="N107" s="146">
        <v>17</v>
      </c>
      <c r="O107" s="146">
        <v>70</v>
      </c>
      <c r="P107" s="146">
        <v>123</v>
      </c>
      <c r="Q107" s="146">
        <v>19</v>
      </c>
      <c r="R107" s="146">
        <v>104</v>
      </c>
      <c r="S107" s="146">
        <v>168</v>
      </c>
      <c r="T107" s="146">
        <v>36</v>
      </c>
      <c r="U107" s="146">
        <v>132</v>
      </c>
      <c r="V107" s="146">
        <v>236</v>
      </c>
      <c r="W107" s="146">
        <v>51</v>
      </c>
      <c r="X107" s="146">
        <v>185</v>
      </c>
      <c r="Y107" s="146">
        <v>235</v>
      </c>
      <c r="Z107" s="146">
        <v>45</v>
      </c>
      <c r="AA107" s="146">
        <v>190</v>
      </c>
      <c r="AB107" s="146">
        <v>249</v>
      </c>
      <c r="AC107" s="146">
        <v>55</v>
      </c>
      <c r="AD107" s="146">
        <v>194</v>
      </c>
      <c r="AE107" s="146">
        <v>189</v>
      </c>
      <c r="AF107" s="146">
        <v>47</v>
      </c>
      <c r="AG107" s="146">
        <v>142</v>
      </c>
    </row>
    <row r="108" spans="9:33" ht="12">
      <c r="I108" s="155" t="s">
        <v>305</v>
      </c>
      <c r="J108" s="143">
        <f>SUM(J103:J107)</f>
        <v>688</v>
      </c>
      <c r="K108" s="143">
        <f aca="true" t="shared" si="3" ref="K108:AG108">SUM(K103:K107)</f>
        <v>132</v>
      </c>
      <c r="L108" s="143">
        <f t="shared" si="3"/>
        <v>556</v>
      </c>
      <c r="M108" s="143">
        <f t="shared" si="3"/>
        <v>849</v>
      </c>
      <c r="N108" s="143">
        <f t="shared" si="3"/>
        <v>168</v>
      </c>
      <c r="O108" s="143">
        <f t="shared" si="3"/>
        <v>681</v>
      </c>
      <c r="P108" s="143">
        <f t="shared" si="3"/>
        <v>1011</v>
      </c>
      <c r="Q108" s="143">
        <f t="shared" si="3"/>
        <v>206</v>
      </c>
      <c r="R108" s="143">
        <f t="shared" si="3"/>
        <v>805</v>
      </c>
      <c r="S108" s="143">
        <f t="shared" si="3"/>
        <v>1077</v>
      </c>
      <c r="T108" s="143">
        <f t="shared" si="3"/>
        <v>234</v>
      </c>
      <c r="U108" s="143">
        <f t="shared" si="3"/>
        <v>843</v>
      </c>
      <c r="V108" s="143">
        <f t="shared" si="3"/>
        <v>1138</v>
      </c>
      <c r="W108" s="143">
        <f t="shared" si="3"/>
        <v>263</v>
      </c>
      <c r="X108" s="143">
        <f t="shared" si="3"/>
        <v>875</v>
      </c>
      <c r="Y108" s="143">
        <f t="shared" si="3"/>
        <v>1062</v>
      </c>
      <c r="Z108" s="143">
        <f t="shared" si="3"/>
        <v>252</v>
      </c>
      <c r="AA108" s="143">
        <f t="shared" si="3"/>
        <v>810</v>
      </c>
      <c r="AB108" s="143">
        <f t="shared" si="3"/>
        <v>935</v>
      </c>
      <c r="AC108" s="143">
        <f t="shared" si="3"/>
        <v>231</v>
      </c>
      <c r="AD108" s="143">
        <f t="shared" si="3"/>
        <v>704</v>
      </c>
      <c r="AE108" s="143">
        <f t="shared" si="3"/>
        <v>814</v>
      </c>
      <c r="AF108" s="143">
        <f t="shared" si="3"/>
        <v>219</v>
      </c>
      <c r="AG108" s="143">
        <f t="shared" si="3"/>
        <v>595</v>
      </c>
    </row>
    <row r="109" spans="9:33" ht="24">
      <c r="I109" s="142" t="s">
        <v>306</v>
      </c>
      <c r="J109" s="143">
        <v>472</v>
      </c>
      <c r="K109" s="143">
        <v>65</v>
      </c>
      <c r="L109" s="143">
        <v>407</v>
      </c>
      <c r="M109" s="157">
        <f>N109+O109</f>
        <v>546</v>
      </c>
      <c r="N109" s="157">
        <f>K109+K107</f>
        <v>74</v>
      </c>
      <c r="O109" s="157">
        <f>L109+L107</f>
        <v>472</v>
      </c>
      <c r="P109" s="157">
        <f>Q109+R109</f>
        <v>633</v>
      </c>
      <c r="Q109" s="157">
        <f>N109+N107</f>
        <v>91</v>
      </c>
      <c r="R109" s="157">
        <f>O109+O107</f>
        <v>542</v>
      </c>
      <c r="S109" s="157">
        <f>T109+U109</f>
        <v>756</v>
      </c>
      <c r="T109" s="157">
        <f>Q109+Q107</f>
        <v>110</v>
      </c>
      <c r="U109" s="157">
        <f>R109+R107</f>
        <v>646</v>
      </c>
      <c r="V109" s="157">
        <f>W109+X109</f>
        <v>924</v>
      </c>
      <c r="W109" s="157">
        <f>T109+T107</f>
        <v>146</v>
      </c>
      <c r="X109" s="157">
        <f>U109+U107</f>
        <v>778</v>
      </c>
      <c r="Y109" s="157">
        <f>Z109+AA109</f>
        <v>1160</v>
      </c>
      <c r="Z109" s="157">
        <f>W109+W107</f>
        <v>197</v>
      </c>
      <c r="AA109" s="157">
        <f>X109+X107</f>
        <v>963</v>
      </c>
      <c r="AB109" s="157">
        <f>AC109+AD109</f>
        <v>1395</v>
      </c>
      <c r="AC109" s="157">
        <f>Z109+Z107</f>
        <v>242</v>
      </c>
      <c r="AD109" s="157">
        <f>AA109+AA107</f>
        <v>1153</v>
      </c>
      <c r="AE109" s="157">
        <f>AF109+AG109</f>
        <v>1644</v>
      </c>
      <c r="AF109" s="157">
        <f>AC109+AC107</f>
        <v>297</v>
      </c>
      <c r="AG109" s="157">
        <f>AD109+AD107</f>
        <v>1347</v>
      </c>
    </row>
    <row r="110" spans="9:33" ht="36">
      <c r="I110" s="148" t="s">
        <v>362</v>
      </c>
      <c r="J110" s="143">
        <f>J12+J18+J24</f>
        <v>7081</v>
      </c>
      <c r="K110" s="143">
        <f>K12+K18+K24</f>
        <v>3441</v>
      </c>
      <c r="L110" s="143">
        <f>L12+L18+L24</f>
        <v>3640</v>
      </c>
      <c r="M110" s="143">
        <f>M12+M18+M24</f>
        <v>7105</v>
      </c>
      <c r="N110" s="143"/>
      <c r="O110" s="143"/>
      <c r="P110" s="143">
        <f>P12+P18+P24</f>
        <v>7216</v>
      </c>
      <c r="Q110" s="143"/>
      <c r="R110" s="143"/>
      <c r="S110" s="143">
        <f>S12+S18+S24</f>
        <v>7279</v>
      </c>
      <c r="T110" s="143"/>
      <c r="U110" s="143"/>
      <c r="V110" s="143">
        <f>V12+V18+V24</f>
        <v>7358</v>
      </c>
      <c r="W110" s="143"/>
      <c r="X110" s="143"/>
      <c r="Y110" s="143">
        <f>Y12+Y18+Y24</f>
        <v>7353</v>
      </c>
      <c r="Z110" s="143"/>
      <c r="AA110" s="143"/>
      <c r="AB110" s="143">
        <f>AB12+AB18+AB24</f>
        <v>7350</v>
      </c>
      <c r="AC110" s="143"/>
      <c r="AD110" s="143"/>
      <c r="AE110" s="143">
        <f>AE12+AE18+AE24</f>
        <v>7396</v>
      </c>
      <c r="AF110" s="143"/>
      <c r="AG110" s="143"/>
    </row>
    <row r="111" spans="9:33" ht="48">
      <c r="I111" s="142" t="s">
        <v>363</v>
      </c>
      <c r="J111" s="143">
        <f>K111+L111</f>
        <v>9934</v>
      </c>
      <c r="K111" s="143">
        <f>K84+K90+K96+K102+K108+K109</f>
        <v>2446</v>
      </c>
      <c r="L111" s="143">
        <f>L78+L84+L90+L96+L102+L108+L109</f>
        <v>7488</v>
      </c>
      <c r="M111" s="143">
        <f>N111+O111</f>
        <v>10166</v>
      </c>
      <c r="N111" s="143">
        <f>N84+N90+N96+N102+N108+N109</f>
        <v>2547.5</v>
      </c>
      <c r="O111" s="143">
        <f>O84+O90+O96+O102+O108+O109+O77+O76+O75+O74+O73/2</f>
        <v>7618.5</v>
      </c>
      <c r="P111" s="143">
        <f>Q111+R111</f>
        <v>10508.5</v>
      </c>
      <c r="Q111" s="143">
        <f>Q90+Q96+Q102+Q108+Q109+Q83+Q82+Q81+Q80/2+Q79/2</f>
        <v>2638.5</v>
      </c>
      <c r="R111" s="143">
        <f>R84+R90+R96+R102+R108+R109+R77+R76+R75+R74+R73/2</f>
        <v>7870</v>
      </c>
      <c r="S111" s="143">
        <f>T111+U111</f>
        <v>10610</v>
      </c>
      <c r="T111" s="143">
        <f>T90+T96+T102+T108+T109+T82+T83+T81+T80/2</f>
        <v>2740</v>
      </c>
      <c r="U111" s="143">
        <f>U84+U90+U96+U102+U108+U109+U77+U76+U75+U74/2</f>
        <v>7870</v>
      </c>
      <c r="V111" s="143">
        <f>W111+X111</f>
        <v>10610</v>
      </c>
      <c r="W111" s="143">
        <f>W90+W96+W102+W108+W109+W83+W82+W81/2</f>
        <v>2740</v>
      </c>
      <c r="X111" s="143">
        <f>X84+X90+X96+X102+X108+X109+X77+X76+X75/2</f>
        <v>7870</v>
      </c>
      <c r="Y111" s="143">
        <f>Z111+AA111</f>
        <v>11017</v>
      </c>
      <c r="Z111" s="143">
        <f>Z83+Z82+Z81/2+Z90+Z96+Z102+Z108+Z109</f>
        <v>2927.5</v>
      </c>
      <c r="AA111" s="143">
        <f>AA84+AA90+AA96+AA102+AA108+AA109+AA77+AA76+AA75/2</f>
        <v>8089.5</v>
      </c>
      <c r="AB111" s="143">
        <f>AC111+AD111</f>
        <v>11212</v>
      </c>
      <c r="AC111" s="143">
        <f>AC90+AC96+AC102+AC108+AC109+AC83+AC82</f>
        <v>3024</v>
      </c>
      <c r="AD111" s="143">
        <f>AD84+AD90+AD96+AD102+AD108+AD109+AD77+AD76</f>
        <v>8188</v>
      </c>
      <c r="AE111" s="143">
        <f>AF111+AG111</f>
        <v>11212</v>
      </c>
      <c r="AF111" s="143">
        <f>AF84+AF90+AF96+AF102+AF108+AF109</f>
        <v>3024</v>
      </c>
      <c r="AG111" s="143">
        <f>AG77+AG84+AG90+AG96+AG102+AG108+AG109</f>
        <v>8188</v>
      </c>
    </row>
    <row r="112" spans="9:33" ht="12">
      <c r="I112" s="174" t="s">
        <v>340</v>
      </c>
      <c r="J112" s="175"/>
      <c r="K112" s="175"/>
      <c r="L112" s="175"/>
      <c r="M112" s="176">
        <f>N112+O112</f>
        <v>23435.5</v>
      </c>
      <c r="N112" s="176">
        <f>SUM(N25:N77)</f>
        <v>13804</v>
      </c>
      <c r="O112" s="176">
        <f>SUM(O25:O71)+O73/2</f>
        <v>9631.5</v>
      </c>
      <c r="P112" s="176">
        <f>Q112+R112</f>
        <v>23563.5</v>
      </c>
      <c r="Q112" s="177">
        <f>SUM(Q25:Q77)+Q79/2+Q80/2</f>
        <v>14000.5</v>
      </c>
      <c r="R112" s="176">
        <f>SUM(R25:R71)+R73/2</f>
        <v>9563</v>
      </c>
      <c r="S112" s="176">
        <f>T112+U112</f>
        <v>24110.5</v>
      </c>
      <c r="T112" s="177">
        <f>SUM(T25:T79)+T80/2</f>
        <v>14065</v>
      </c>
      <c r="U112" s="177">
        <f>SUM(U25:U74)+U75/2</f>
        <v>10045.5</v>
      </c>
      <c r="V112" s="176">
        <f>W112+X112</f>
        <v>24250</v>
      </c>
      <c r="W112" s="177">
        <f>SUM(W25:W80)+W81/2</f>
        <v>14234</v>
      </c>
      <c r="X112" s="177">
        <f>SUM(X25:X74)+X75/2</f>
        <v>10016</v>
      </c>
      <c r="Y112" s="176">
        <f>Z112+AA112</f>
        <v>24406.5</v>
      </c>
      <c r="Z112" s="176">
        <f>SUM(Z25:Z80)+Z81/2</f>
        <v>14282.5</v>
      </c>
      <c r="AA112" s="176">
        <f>SUM(AA25:AA75)</f>
        <v>10124</v>
      </c>
      <c r="AB112" s="176">
        <f>AC112+AD112</f>
        <v>24773</v>
      </c>
      <c r="AC112" s="176">
        <f>SUM(AC25:AC81)</f>
        <v>14407</v>
      </c>
      <c r="AD112" s="176">
        <f>SUM(AD25:AD76)</f>
        <v>10366</v>
      </c>
      <c r="AE112" s="176">
        <f>AF112+AG112</f>
        <v>25000</v>
      </c>
      <c r="AF112" s="176">
        <f>SUM(AF25:AF82)</f>
        <v>14597</v>
      </c>
      <c r="AG112" s="176">
        <f>SUM(AG25:AG76)</f>
        <v>10403</v>
      </c>
    </row>
    <row r="113" spans="9:33" ht="12">
      <c r="I113" s="174" t="s">
        <v>342</v>
      </c>
      <c r="J113" s="175"/>
      <c r="K113" s="175"/>
      <c r="L113" s="175"/>
      <c r="M113" s="176">
        <f>700*0.7536</f>
        <v>527.52</v>
      </c>
      <c r="N113" s="177"/>
      <c r="O113" s="177"/>
      <c r="P113" s="176">
        <f>640*0.7536</f>
        <v>482.30400000000003</v>
      </c>
      <c r="Q113" s="176"/>
      <c r="R113" s="176"/>
      <c r="S113" s="176">
        <f>610*0.7536</f>
        <v>459.696</v>
      </c>
      <c r="T113" s="176"/>
      <c r="U113" s="176"/>
      <c r="V113" s="176">
        <f>570*0.7536</f>
        <v>429.552</v>
      </c>
      <c r="W113" s="176"/>
      <c r="X113" s="176"/>
      <c r="Y113" s="176">
        <f>590*0.7536</f>
        <v>444.624</v>
      </c>
      <c r="Z113" s="176"/>
      <c r="AA113" s="176"/>
      <c r="AB113" s="176">
        <f>530*0.7536</f>
        <v>399.408</v>
      </c>
      <c r="AC113" s="177"/>
      <c r="AD113" s="177"/>
      <c r="AE113" s="176">
        <f>540*0.7536</f>
        <v>406.944</v>
      </c>
      <c r="AF113" s="177"/>
      <c r="AG113" s="177"/>
    </row>
    <row r="114" spans="9:33" ht="12">
      <c r="I114" s="174" t="s">
        <v>343</v>
      </c>
      <c r="J114" s="175"/>
      <c r="K114" s="175"/>
      <c r="L114" s="175"/>
      <c r="M114" s="176">
        <f>590*0.347</f>
        <v>204.73</v>
      </c>
      <c r="N114" s="177"/>
      <c r="O114" s="177"/>
      <c r="P114" s="176">
        <f>550*0.347</f>
        <v>190.85</v>
      </c>
      <c r="Q114" s="176"/>
      <c r="R114" s="176"/>
      <c r="S114" s="176">
        <f>540*0.347</f>
        <v>187.38</v>
      </c>
      <c r="T114" s="176"/>
      <c r="U114" s="176"/>
      <c r="V114" s="176">
        <f>540*0.347</f>
        <v>187.38</v>
      </c>
      <c r="W114" s="176"/>
      <c r="X114" s="176"/>
      <c r="Y114" s="176">
        <f>540*0.347</f>
        <v>187.38</v>
      </c>
      <c r="Z114" s="176"/>
      <c r="AA114" s="176"/>
      <c r="AB114" s="176">
        <f>540*0.347</f>
        <v>187.38</v>
      </c>
      <c r="AC114" s="177"/>
      <c r="AD114" s="177"/>
      <c r="AE114" s="176">
        <f>540*0.347</f>
        <v>187.38</v>
      </c>
      <c r="AF114" s="177"/>
      <c r="AG114" s="177"/>
    </row>
    <row r="115" spans="9:31" ht="12">
      <c r="I115" s="153" t="s">
        <v>341</v>
      </c>
      <c r="J115" s="156"/>
      <c r="K115" s="156"/>
      <c r="L115" s="156"/>
      <c r="M115" s="157">
        <f>M112+M113-M114</f>
        <v>23758.29</v>
      </c>
      <c r="P115" s="157">
        <f>P112+P113-P114</f>
        <v>23854.954</v>
      </c>
      <c r="S115" s="157">
        <f>S112+S113-S114</f>
        <v>24382.816</v>
      </c>
      <c r="V115" s="157">
        <f>V112+V113-V114</f>
        <v>24492.172</v>
      </c>
      <c r="Y115" s="157">
        <f>Y112+Y113-Y114</f>
        <v>24663.744</v>
      </c>
      <c r="AB115" s="157">
        <f>AB112+AB113-AB114</f>
        <v>24985.028</v>
      </c>
      <c r="AE115" s="157">
        <f>AE112+AE113-AE114</f>
        <v>25219.564</v>
      </c>
    </row>
    <row r="116" spans="9:31" ht="12">
      <c r="I116" s="174" t="s">
        <v>403</v>
      </c>
      <c r="J116" s="156"/>
      <c r="K116" s="156"/>
      <c r="L116" s="156"/>
      <c r="M116" s="157">
        <f>590-M114</f>
        <v>385.27</v>
      </c>
      <c r="N116" s="157"/>
      <c r="O116" s="157"/>
      <c r="P116" s="157">
        <f>550-P114</f>
        <v>359.15</v>
      </c>
      <c r="Q116" s="157"/>
      <c r="R116" s="157"/>
      <c r="S116" s="157">
        <f>540-S114</f>
        <v>352.62</v>
      </c>
      <c r="T116" s="157"/>
      <c r="U116" s="157"/>
      <c r="V116" s="157">
        <f>540-V114</f>
        <v>352.62</v>
      </c>
      <c r="W116" s="157"/>
      <c r="X116" s="157"/>
      <c r="Y116" s="157">
        <f>540-Y114</f>
        <v>352.62</v>
      </c>
      <c r="Z116" s="157"/>
      <c r="AA116" s="157"/>
      <c r="AB116" s="157">
        <f>540-AB114</f>
        <v>352.62</v>
      </c>
      <c r="AC116" s="157"/>
      <c r="AD116" s="157"/>
      <c r="AE116" s="157">
        <f>540-AE114</f>
        <v>352.62</v>
      </c>
    </row>
    <row r="117" spans="9:31" ht="48">
      <c r="I117" s="142" t="s">
        <v>363</v>
      </c>
      <c r="J117" s="156"/>
      <c r="K117" s="156"/>
      <c r="L117" s="156"/>
      <c r="M117" s="157">
        <f>M111-M116</f>
        <v>9780.73</v>
      </c>
      <c r="N117" s="157"/>
      <c r="O117" s="157"/>
      <c r="P117" s="157">
        <f>P111-P116</f>
        <v>10149.35</v>
      </c>
      <c r="Q117" s="157"/>
      <c r="R117" s="157"/>
      <c r="S117" s="157">
        <f>S111-S116</f>
        <v>10257.38</v>
      </c>
      <c r="T117" s="157"/>
      <c r="U117" s="157"/>
      <c r="V117" s="157">
        <f>V111-V116</f>
        <v>10257.38</v>
      </c>
      <c r="W117" s="157"/>
      <c r="X117" s="157"/>
      <c r="Y117" s="157">
        <f>Y111-Y116</f>
        <v>10664.38</v>
      </c>
      <c r="Z117" s="157"/>
      <c r="AA117" s="157"/>
      <c r="AB117" s="157">
        <f>AB111-AB116</f>
        <v>10859.38</v>
      </c>
      <c r="AC117" s="157"/>
      <c r="AD117" s="157"/>
      <c r="AE117" s="157">
        <f>AE111-AE116</f>
        <v>10859.38</v>
      </c>
    </row>
    <row r="118" spans="8:33" ht="24.75" customHeight="1">
      <c r="H118" s="135" t="s">
        <v>350</v>
      </c>
      <c r="I118" s="135" t="s">
        <v>349</v>
      </c>
      <c r="J118" s="157">
        <f>J25</f>
        <v>416</v>
      </c>
      <c r="K118" s="157"/>
      <c r="L118" s="157"/>
      <c r="M118" s="157">
        <f>M25</f>
        <v>406</v>
      </c>
      <c r="N118" s="157"/>
      <c r="O118" s="157"/>
      <c r="P118" s="157">
        <f>P25</f>
        <v>369</v>
      </c>
      <c r="Q118" s="157"/>
      <c r="R118" s="157"/>
      <c r="S118" s="157">
        <f>S25</f>
        <v>397</v>
      </c>
      <c r="T118" s="157"/>
      <c r="U118" s="157"/>
      <c r="V118" s="157">
        <f>V25</f>
        <v>391</v>
      </c>
      <c r="W118" s="157"/>
      <c r="X118" s="157"/>
      <c r="Y118" s="157">
        <f>Y25</f>
        <v>465</v>
      </c>
      <c r="Z118" s="157"/>
      <c r="AA118" s="157"/>
      <c r="AB118" s="157">
        <f>AB25</f>
        <v>463</v>
      </c>
      <c r="AC118" s="157"/>
      <c r="AD118" s="157"/>
      <c r="AE118" s="157">
        <f>AE25</f>
        <v>424</v>
      </c>
      <c r="AF118" s="157"/>
      <c r="AG118" s="157"/>
    </row>
    <row r="119" spans="8:31" ht="12">
      <c r="H119" s="135" t="s">
        <v>351</v>
      </c>
      <c r="I119" s="135" t="s">
        <v>352</v>
      </c>
      <c r="J119" s="157">
        <f>J26*1.1458</f>
        <v>376.96819999999997</v>
      </c>
      <c r="K119" s="157"/>
      <c r="L119" s="157"/>
      <c r="M119" s="157">
        <f>M26*1.1458</f>
        <v>476.65279999999996</v>
      </c>
      <c r="N119" s="157"/>
      <c r="O119" s="157"/>
      <c r="P119" s="157">
        <f>P26*1.1458</f>
        <v>465.1948</v>
      </c>
      <c r="Q119" s="157"/>
      <c r="R119" s="157"/>
      <c r="S119" s="157">
        <f>S26*1.1458</f>
        <v>422.80019999999996</v>
      </c>
      <c r="T119" s="157"/>
      <c r="U119" s="157"/>
      <c r="V119" s="157">
        <f>V26*1.1458</f>
        <v>454.88259999999997</v>
      </c>
      <c r="W119" s="157"/>
      <c r="X119" s="157"/>
      <c r="Y119" s="157">
        <f>Y26*1.1458</f>
        <v>448.0078</v>
      </c>
      <c r="Z119" s="157"/>
      <c r="AA119" s="157"/>
      <c r="AB119" s="157">
        <f>AB26*1.1458</f>
        <v>532.7969999999999</v>
      </c>
      <c r="AC119" s="157"/>
      <c r="AD119" s="157"/>
      <c r="AE119" s="157">
        <f>AE26*1.1458</f>
        <v>530.5054</v>
      </c>
    </row>
    <row r="120" spans="8:31" ht="12">
      <c r="H120" s="135" t="s">
        <v>353</v>
      </c>
      <c r="I120" s="135" t="s">
        <v>357</v>
      </c>
      <c r="J120" s="135">
        <v>124</v>
      </c>
      <c r="L120" s="132"/>
      <c r="M120" s="171">
        <f>M27*0.443</f>
        <v>145.747</v>
      </c>
      <c r="N120" s="171"/>
      <c r="O120" s="157"/>
      <c r="P120" s="171">
        <f>P27*0.443</f>
        <v>184.288</v>
      </c>
      <c r="Q120" s="157"/>
      <c r="R120" s="157"/>
      <c r="S120" s="171">
        <f>S27*0.443</f>
        <v>179.858</v>
      </c>
      <c r="T120" s="157"/>
      <c r="U120" s="157"/>
      <c r="V120" s="171">
        <f>V27*0.443</f>
        <v>163.467</v>
      </c>
      <c r="W120" s="157"/>
      <c r="X120" s="157"/>
      <c r="Y120" s="171">
        <f>Y27*0.443</f>
        <v>175.871</v>
      </c>
      <c r="Z120" s="157"/>
      <c r="AA120" s="157"/>
      <c r="AB120" s="171">
        <f>AB27*0.443</f>
        <v>173.213</v>
      </c>
      <c r="AC120" s="157"/>
      <c r="AD120" s="157"/>
      <c r="AE120" s="171">
        <f>AE27*0.443</f>
        <v>205.995</v>
      </c>
    </row>
    <row r="121" spans="8:31" ht="12">
      <c r="H121" s="135" t="s">
        <v>355</v>
      </c>
      <c r="I121" s="135" t="s">
        <v>356</v>
      </c>
      <c r="J121" s="135">
        <v>124</v>
      </c>
      <c r="L121" s="132"/>
      <c r="M121" s="171">
        <f>M28*0.443</f>
        <v>127.141</v>
      </c>
      <c r="N121" s="171"/>
      <c r="O121" s="157"/>
      <c r="P121" s="171">
        <f>P28*0.443</f>
        <v>145.747</v>
      </c>
      <c r="Q121" s="157"/>
      <c r="R121" s="157"/>
      <c r="S121" s="171">
        <f>S28*0.443</f>
        <v>184.288</v>
      </c>
      <c r="T121" s="157"/>
      <c r="U121" s="157"/>
      <c r="V121" s="171">
        <f>V28*0.443</f>
        <v>179.858</v>
      </c>
      <c r="W121" s="157"/>
      <c r="X121" s="157"/>
      <c r="Y121" s="171">
        <f>Y28*0.443</f>
        <v>163.467</v>
      </c>
      <c r="Z121" s="157"/>
      <c r="AA121" s="157"/>
      <c r="AB121" s="171">
        <f>AB28*0.443</f>
        <v>175.871</v>
      </c>
      <c r="AC121" s="157"/>
      <c r="AD121" s="157"/>
      <c r="AE121" s="171">
        <f>AE28*0.443</f>
        <v>173.213</v>
      </c>
    </row>
    <row r="122" spans="8:33" ht="12">
      <c r="H122" s="177" t="s">
        <v>358</v>
      </c>
      <c r="I122" s="177"/>
      <c r="J122" s="176">
        <f>SUM(J118:J121)</f>
        <v>1040.9682</v>
      </c>
      <c r="K122" s="176"/>
      <c r="L122" s="176"/>
      <c r="M122" s="176">
        <f>SUM(M118:M121)</f>
        <v>1155.5408</v>
      </c>
      <c r="N122" s="176"/>
      <c r="O122" s="176"/>
      <c r="P122" s="176">
        <f>SUM(P118:P121)</f>
        <v>1164.2298</v>
      </c>
      <c r="Q122" s="176"/>
      <c r="R122" s="176"/>
      <c r="S122" s="176">
        <f>SUM(S118:S121)</f>
        <v>1183.9461999999999</v>
      </c>
      <c r="T122" s="176"/>
      <c r="U122" s="176"/>
      <c r="V122" s="176">
        <f>SUM(V118:V121)</f>
        <v>1189.2076</v>
      </c>
      <c r="W122" s="176"/>
      <c r="X122" s="176"/>
      <c r="Y122" s="176">
        <f>SUM(Y118:Y121)</f>
        <v>1252.3458</v>
      </c>
      <c r="Z122" s="176"/>
      <c r="AA122" s="176"/>
      <c r="AB122" s="176">
        <f>SUM(AB118:AB121)</f>
        <v>1344.881</v>
      </c>
      <c r="AC122" s="176"/>
      <c r="AD122" s="176"/>
      <c r="AE122" s="176">
        <f>SUM(AE118:AE121)</f>
        <v>1333.7133999999999</v>
      </c>
      <c r="AF122" s="176"/>
      <c r="AG122" s="177"/>
    </row>
    <row r="123" spans="8:31" ht="12">
      <c r="H123" s="135" t="s">
        <v>354</v>
      </c>
      <c r="J123" s="135">
        <v>518</v>
      </c>
      <c r="L123" s="132"/>
      <c r="M123" s="132">
        <v>529</v>
      </c>
      <c r="N123" s="132"/>
      <c r="P123" s="132">
        <v>529</v>
      </c>
      <c r="S123" s="132">
        <v>529</v>
      </c>
      <c r="V123" s="132">
        <v>529</v>
      </c>
      <c r="Y123" s="132">
        <v>529</v>
      </c>
      <c r="AB123" s="132">
        <v>529</v>
      </c>
      <c r="AE123" s="132">
        <v>529</v>
      </c>
    </row>
    <row r="124" spans="8:31" ht="12">
      <c r="H124" s="135" t="s">
        <v>359</v>
      </c>
      <c r="J124" s="135">
        <f>J121</f>
        <v>124</v>
      </c>
      <c r="M124" s="157">
        <f>M121</f>
        <v>127.141</v>
      </c>
      <c r="N124" s="157"/>
      <c r="O124" s="157"/>
      <c r="P124" s="157">
        <f>P121</f>
        <v>145.747</v>
      </c>
      <c r="Q124" s="157"/>
      <c r="R124" s="157"/>
      <c r="S124" s="157">
        <f>S121</f>
        <v>184.288</v>
      </c>
      <c r="T124" s="157"/>
      <c r="U124" s="157"/>
      <c r="V124" s="157">
        <f>V121</f>
        <v>179.858</v>
      </c>
      <c r="W124" s="157"/>
      <c r="X124" s="157"/>
      <c r="Y124" s="157">
        <f>Y121</f>
        <v>163.467</v>
      </c>
      <c r="Z124" s="157"/>
      <c r="AA124" s="157"/>
      <c r="AB124" s="157">
        <f>AB121</f>
        <v>175.871</v>
      </c>
      <c r="AC124" s="157"/>
      <c r="AD124" s="157"/>
      <c r="AE124" s="157">
        <f>AE121</f>
        <v>173.213</v>
      </c>
    </row>
    <row r="125" spans="8:33" ht="12">
      <c r="H125" s="172" t="s">
        <v>360</v>
      </c>
      <c r="I125" s="172"/>
      <c r="J125" s="173">
        <f>J122+J123+J124</f>
        <v>1682.9682</v>
      </c>
      <c r="K125" s="173"/>
      <c r="L125" s="173"/>
      <c r="M125" s="173">
        <f>M122+M123+M124</f>
        <v>1811.6818</v>
      </c>
      <c r="N125" s="173"/>
      <c r="O125" s="173"/>
      <c r="P125" s="173">
        <f>P122+P123+P124</f>
        <v>1838.9768000000001</v>
      </c>
      <c r="Q125" s="173"/>
      <c r="R125" s="173"/>
      <c r="S125" s="173">
        <f>S122+S123+S124</f>
        <v>1897.2341999999999</v>
      </c>
      <c r="T125" s="173"/>
      <c r="U125" s="173"/>
      <c r="V125" s="173">
        <f>V122+V123+V124</f>
        <v>1898.0656</v>
      </c>
      <c r="W125" s="173"/>
      <c r="X125" s="173"/>
      <c r="Y125" s="173">
        <f>Y122+Y123+Y124</f>
        <v>1944.8128000000002</v>
      </c>
      <c r="Z125" s="173"/>
      <c r="AA125" s="173"/>
      <c r="AB125" s="173">
        <f>AB122+AB123+AB124</f>
        <v>2049.752</v>
      </c>
      <c r="AC125" s="173"/>
      <c r="AD125" s="173"/>
      <c r="AE125" s="173">
        <f>AE122+AE123+AE124</f>
        <v>2035.9263999999998</v>
      </c>
      <c r="AF125" s="172"/>
      <c r="AG125" s="172"/>
    </row>
    <row r="126" spans="12:14" ht="12">
      <c r="L126" s="132"/>
      <c r="M126" s="132"/>
      <c r="N126" s="132"/>
    </row>
    <row r="127" spans="8:33" ht="12">
      <c r="H127" s="177" t="s">
        <v>361</v>
      </c>
      <c r="I127" s="177"/>
      <c r="J127" s="176">
        <f>J111*22%</f>
        <v>2185.48</v>
      </c>
      <c r="K127" s="177"/>
      <c r="L127" s="178"/>
      <c r="M127" s="176">
        <f>M111*22%</f>
        <v>2236.52</v>
      </c>
      <c r="N127" s="178"/>
      <c r="O127" s="177"/>
      <c r="P127" s="176">
        <f>P111*22%</f>
        <v>2311.87</v>
      </c>
      <c r="Q127" s="177"/>
      <c r="R127" s="177"/>
      <c r="S127" s="176">
        <f>S111*22%</f>
        <v>2334.2</v>
      </c>
      <c r="T127" s="177"/>
      <c r="U127" s="177"/>
      <c r="V127" s="176">
        <f>V111*22%</f>
        <v>2334.2</v>
      </c>
      <c r="W127" s="177"/>
      <c r="X127" s="177"/>
      <c r="Y127" s="176">
        <f>Y111*22%</f>
        <v>2423.7400000000002</v>
      </c>
      <c r="Z127" s="177"/>
      <c r="AA127" s="177"/>
      <c r="AB127" s="176">
        <f>AB111*22%</f>
        <v>2466.64</v>
      </c>
      <c r="AC127" s="177"/>
      <c r="AD127" s="177"/>
      <c r="AE127" s="176">
        <f>AE111*22%</f>
        <v>2466.64</v>
      </c>
      <c r="AF127" s="177"/>
      <c r="AG127" s="177"/>
    </row>
    <row r="128" spans="8:33" ht="12">
      <c r="H128" s="135" t="s">
        <v>372</v>
      </c>
      <c r="J128" s="157">
        <f>J111-J127</f>
        <v>7748.52</v>
      </c>
      <c r="K128" s="157"/>
      <c r="L128" s="157"/>
      <c r="M128" s="157">
        <f>M111-M127</f>
        <v>7929.48</v>
      </c>
      <c r="N128" s="157"/>
      <c r="O128" s="157"/>
      <c r="P128" s="157">
        <f>P111-P127</f>
        <v>8196.630000000001</v>
      </c>
      <c r="Q128" s="157"/>
      <c r="R128" s="157"/>
      <c r="S128" s="157">
        <f>S111-S127</f>
        <v>8275.8</v>
      </c>
      <c r="T128" s="157"/>
      <c r="U128" s="157"/>
      <c r="V128" s="157">
        <f>V111-V127</f>
        <v>8275.8</v>
      </c>
      <c r="W128" s="157"/>
      <c r="X128" s="157"/>
      <c r="Y128" s="157">
        <f>Y111-Y127</f>
        <v>8593.26</v>
      </c>
      <c r="Z128" s="157"/>
      <c r="AA128" s="157"/>
      <c r="AB128" s="157">
        <f>AB111-AB127</f>
        <v>8745.36</v>
      </c>
      <c r="AC128" s="157"/>
      <c r="AD128" s="157"/>
      <c r="AE128" s="157">
        <f>AE111-AE127</f>
        <v>8745.36</v>
      </c>
      <c r="AF128" s="157"/>
      <c r="AG128" s="157"/>
    </row>
    <row r="129" spans="8:33" ht="12">
      <c r="H129" s="135" t="s">
        <v>399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</row>
    <row r="130" spans="8:31" ht="24" customHeight="1">
      <c r="H130" s="135" t="s">
        <v>391</v>
      </c>
      <c r="L130" s="132"/>
      <c r="M130" s="132">
        <v>2366</v>
      </c>
      <c r="N130" s="132"/>
      <c r="P130" s="157">
        <f>M130*1.008</f>
        <v>2384.928</v>
      </c>
      <c r="Q130" s="157"/>
      <c r="R130" s="157"/>
      <c r="S130" s="157">
        <f>P130*1.008</f>
        <v>2404.007424</v>
      </c>
      <c r="T130" s="157"/>
      <c r="U130" s="157"/>
      <c r="V130" s="157">
        <f>S130*1.008</f>
        <v>2423.239483392</v>
      </c>
      <c r="W130" s="157"/>
      <c r="X130" s="157"/>
      <c r="Y130" s="157">
        <f>V130*1.008</f>
        <v>2442.625399259136</v>
      </c>
      <c r="Z130" s="157"/>
      <c r="AA130" s="157"/>
      <c r="AB130" s="157">
        <f>Y130*1.008</f>
        <v>2462.1664024532092</v>
      </c>
      <c r="AC130" s="157"/>
      <c r="AD130" s="157"/>
      <c r="AE130" s="157">
        <f>AB130*1.008</f>
        <v>2481.8637336728348</v>
      </c>
    </row>
    <row r="131" spans="8:31" ht="12">
      <c r="H131" s="135" t="s">
        <v>392</v>
      </c>
      <c r="L131" s="132"/>
      <c r="M131" s="132">
        <f>M130*0.5</f>
        <v>1183</v>
      </c>
      <c r="N131" s="132"/>
      <c r="P131" s="171">
        <f>P130*0.5</f>
        <v>1192.464</v>
      </c>
      <c r="Q131" s="157"/>
      <c r="R131" s="157"/>
      <c r="S131" s="171">
        <f>S130*0.5</f>
        <v>1202.003712</v>
      </c>
      <c r="T131" s="157"/>
      <c r="U131" s="157"/>
      <c r="V131" s="171">
        <f>V130*0.5</f>
        <v>1211.619741696</v>
      </c>
      <c r="W131" s="157"/>
      <c r="X131" s="157"/>
      <c r="Y131" s="171">
        <f>Y130*0.5</f>
        <v>1221.312699629568</v>
      </c>
      <c r="Z131" s="157"/>
      <c r="AA131" s="157"/>
      <c r="AB131" s="171">
        <f>AB130*0.5</f>
        <v>1231.0832012266046</v>
      </c>
      <c r="AC131" s="157"/>
      <c r="AD131" s="157"/>
      <c r="AE131" s="171">
        <f>AE130*0.5</f>
        <v>1240.9318668364174</v>
      </c>
    </row>
    <row r="132" spans="12:14" ht="12">
      <c r="L132" s="132"/>
      <c r="M132" s="132"/>
      <c r="N132" s="132"/>
    </row>
    <row r="133" spans="8:31" ht="60">
      <c r="H133" s="132" t="s">
        <v>404</v>
      </c>
      <c r="J133" s="157">
        <f>J30+J36+J42+J48+J54+J60+J66+J72+J78+J84+J90+J91+J92+J93</f>
        <v>30839</v>
      </c>
      <c r="L133" s="132"/>
      <c r="M133" s="171">
        <f>SUM(M25:M83)+SUM(M85:M89)+SUM(M91:M93)</f>
        <v>31060</v>
      </c>
      <c r="N133" s="132"/>
      <c r="P133" s="171">
        <f>SUM(P25:P83)+SUM(P85:P89)+SUM(P91:P93)</f>
        <v>31123</v>
      </c>
      <c r="S133" s="171">
        <f>SUM(S25:S83)+SUM(S85:S89)+SUM(S91:S93)</f>
        <v>31160</v>
      </c>
      <c r="V133" s="171">
        <f>SUM(V25:V83)+SUM(V85:V89)+SUM(V91:V93)</f>
        <v>31143</v>
      </c>
      <c r="Y133" s="171">
        <f>SUM(Y25:Y83)+SUM(Y85:Y89)+SUM(Y91:Y93)</f>
        <v>31131</v>
      </c>
      <c r="AB133" s="171">
        <f>SUM(AB25:AB83)+SUM(AB85:AB89)+SUM(AB91:AB93)</f>
        <v>31138</v>
      </c>
      <c r="AE133" s="171">
        <f>SUM(AE25:AE83)+SUM(AE85:AE89)+SUM(AE91:AE93)</f>
        <v>31056</v>
      </c>
    </row>
    <row r="134" spans="8:33" ht="12">
      <c r="H134" s="239" t="s">
        <v>405</v>
      </c>
      <c r="I134" s="239"/>
      <c r="J134" s="239"/>
      <c r="K134" s="239"/>
      <c r="L134" s="240"/>
      <c r="M134" s="240">
        <v>590</v>
      </c>
      <c r="N134" s="240"/>
      <c r="O134" s="239"/>
      <c r="P134" s="239">
        <v>550</v>
      </c>
      <c r="Q134" s="239"/>
      <c r="R134" s="239"/>
      <c r="S134" s="239">
        <v>540</v>
      </c>
      <c r="T134" s="239"/>
      <c r="U134" s="239"/>
      <c r="V134" s="239">
        <v>540</v>
      </c>
      <c r="W134" s="239"/>
      <c r="X134" s="239"/>
      <c r="Y134" s="239">
        <v>540</v>
      </c>
      <c r="Z134" s="239"/>
      <c r="AA134" s="239"/>
      <c r="AB134" s="239">
        <v>540</v>
      </c>
      <c r="AC134" s="239"/>
      <c r="AD134" s="239"/>
      <c r="AE134" s="239">
        <v>540</v>
      </c>
      <c r="AF134" s="239"/>
      <c r="AG134" s="239"/>
    </row>
    <row r="135" spans="8:33" ht="12">
      <c r="H135" s="239" t="s">
        <v>406</v>
      </c>
      <c r="I135" s="239"/>
      <c r="J135" s="239"/>
      <c r="K135" s="239"/>
      <c r="L135" s="240"/>
      <c r="M135" s="241">
        <f>M113</f>
        <v>527.52</v>
      </c>
      <c r="N135" s="240"/>
      <c r="O135" s="239"/>
      <c r="P135" s="241">
        <f>P113</f>
        <v>482.30400000000003</v>
      </c>
      <c r="Q135" s="239"/>
      <c r="R135" s="239"/>
      <c r="S135" s="241">
        <f>S113</f>
        <v>459.696</v>
      </c>
      <c r="T135" s="239"/>
      <c r="U135" s="239"/>
      <c r="V135" s="241">
        <f>V113</f>
        <v>429.552</v>
      </c>
      <c r="W135" s="239"/>
      <c r="X135" s="239"/>
      <c r="Y135" s="241">
        <f>Y113</f>
        <v>444.624</v>
      </c>
      <c r="Z135" s="239"/>
      <c r="AA135" s="239"/>
      <c r="AB135" s="241">
        <f>AB113</f>
        <v>399.408</v>
      </c>
      <c r="AC135" s="239"/>
      <c r="AD135" s="239"/>
      <c r="AE135" s="241">
        <f>AE113</f>
        <v>406.944</v>
      </c>
      <c r="AF135" s="239"/>
      <c r="AG135" s="239"/>
    </row>
    <row r="136" spans="8:33" ht="60">
      <c r="H136" s="178" t="s">
        <v>404</v>
      </c>
      <c r="I136" s="177"/>
      <c r="J136" s="177"/>
      <c r="K136" s="177"/>
      <c r="L136" s="178"/>
      <c r="M136" s="242">
        <f>M133-M134+M135</f>
        <v>30997.52</v>
      </c>
      <c r="N136" s="242"/>
      <c r="O136" s="242"/>
      <c r="P136" s="242">
        <f>P133-P134+P135</f>
        <v>31055.304</v>
      </c>
      <c r="Q136" s="242"/>
      <c r="R136" s="242"/>
      <c r="S136" s="242">
        <f>S133-S134+S135</f>
        <v>31079.696</v>
      </c>
      <c r="T136" s="242"/>
      <c r="U136" s="242"/>
      <c r="V136" s="242">
        <f>V133-V134+V135</f>
        <v>31032.552</v>
      </c>
      <c r="W136" s="242"/>
      <c r="X136" s="242"/>
      <c r="Y136" s="242">
        <f>Y133-Y134+Y135</f>
        <v>31035.624</v>
      </c>
      <c r="Z136" s="242"/>
      <c r="AA136" s="242"/>
      <c r="AB136" s="242">
        <f>AB133-AB134+AB135</f>
        <v>30997.408</v>
      </c>
      <c r="AC136" s="242"/>
      <c r="AD136" s="242"/>
      <c r="AE136" s="242">
        <f>AE133-AE134+AE135</f>
        <v>30922.944</v>
      </c>
      <c r="AF136" s="177"/>
      <c r="AG136" s="177"/>
    </row>
    <row r="137" spans="12:14" ht="12">
      <c r="L137" s="132"/>
      <c r="M137" s="132"/>
      <c r="N137" s="132"/>
    </row>
    <row r="138" spans="12:14" ht="12">
      <c r="L138" s="132"/>
      <c r="M138" s="132"/>
      <c r="N138" s="132"/>
    </row>
  </sheetData>
  <sheetProtection/>
  <mergeCells count="15">
    <mergeCell ref="A3:A4"/>
    <mergeCell ref="B3:D3"/>
    <mergeCell ref="E3:E4"/>
    <mergeCell ref="I3:I4"/>
    <mergeCell ref="AJ4:AL4"/>
    <mergeCell ref="AJ14:AL14"/>
    <mergeCell ref="J2:L2"/>
    <mergeCell ref="S6:AG6"/>
    <mergeCell ref="AE2:AG2"/>
    <mergeCell ref="M2:O2"/>
    <mergeCell ref="P2:R2"/>
    <mergeCell ref="S2:U2"/>
    <mergeCell ref="V2:X2"/>
    <mergeCell ref="Y2:AA2"/>
    <mergeCell ref="AB2:AD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="83" zoomScaleNormal="83" zoomScalePageLayoutView="0" workbookViewId="0" topLeftCell="A1">
      <pane ySplit="495" topLeftCell="A7" activePane="bottomLeft" state="split"/>
      <selection pane="topLeft" activeCell="D34" sqref="D34"/>
      <selection pane="bottomLeft" activeCell="C58" sqref="C58"/>
    </sheetView>
  </sheetViews>
  <sheetFormatPr defaultColWidth="8.875" defaultRowHeight="12.75"/>
  <cols>
    <col min="1" max="1" width="5.00390625" style="165" customWidth="1"/>
    <col min="2" max="2" width="97.75390625" style="165" customWidth="1"/>
    <col min="3" max="3" width="13.75390625" style="206" customWidth="1"/>
    <col min="4" max="10" width="8.875" style="207" customWidth="1"/>
    <col min="11" max="16384" width="8.875" style="165" customWidth="1"/>
  </cols>
  <sheetData>
    <row r="1" spans="1:10" ht="12.75">
      <c r="A1" s="179"/>
      <c r="B1" s="179"/>
      <c r="C1" s="198">
        <v>2017</v>
      </c>
      <c r="D1" s="187">
        <v>2018</v>
      </c>
      <c r="E1" s="187">
        <v>2019</v>
      </c>
      <c r="F1" s="187">
        <v>2020</v>
      </c>
      <c r="G1" s="187">
        <v>2021</v>
      </c>
      <c r="H1" s="187">
        <v>2022</v>
      </c>
      <c r="I1" s="187">
        <v>2023</v>
      </c>
      <c r="J1" s="187">
        <v>2024</v>
      </c>
    </row>
    <row r="2" spans="1:10" ht="12.75">
      <c r="A2" s="180">
        <v>1</v>
      </c>
      <c r="B2" s="181" t="s">
        <v>364</v>
      </c>
      <c r="C2" s="200">
        <f>C5+C18+C19</f>
        <v>23568</v>
      </c>
      <c r="D2" s="200">
        <f aca="true" t="shared" si="0" ref="D2:J2">D5+D18+D19</f>
        <v>23585.688</v>
      </c>
      <c r="E2" s="200">
        <f t="shared" si="0"/>
        <v>23494.23</v>
      </c>
      <c r="F2" s="200">
        <f t="shared" si="0"/>
        <v>23959.992000000002</v>
      </c>
      <c r="G2" s="200">
        <f t="shared" si="0"/>
        <v>24030.354000000003</v>
      </c>
      <c r="H2" s="200">
        <f t="shared" si="0"/>
        <v>24244.714</v>
      </c>
      <c r="I2" s="200">
        <f t="shared" si="0"/>
        <v>24445.076</v>
      </c>
      <c r="J2" s="200">
        <f t="shared" si="0"/>
        <v>24654.636000000002</v>
      </c>
    </row>
    <row r="3" spans="1:10" ht="14.25" customHeight="1">
      <c r="A3" s="179"/>
      <c r="B3" s="219"/>
      <c r="C3" s="222"/>
      <c r="D3" s="221">
        <f aca="true" t="shared" si="1" ref="D3:J3">D2/C2*100</f>
        <v>100.07505091649693</v>
      </c>
      <c r="E3" s="221">
        <f t="shared" si="1"/>
        <v>99.61223094276495</v>
      </c>
      <c r="F3" s="221">
        <f t="shared" si="1"/>
        <v>101.9824527128576</v>
      </c>
      <c r="G3" s="221">
        <f t="shared" si="1"/>
        <v>100.29366453878616</v>
      </c>
      <c r="H3" s="221">
        <f t="shared" si="1"/>
        <v>100.89203846102308</v>
      </c>
      <c r="I3" s="221">
        <f t="shared" si="1"/>
        <v>100.82641519301899</v>
      </c>
      <c r="J3" s="221">
        <f t="shared" si="1"/>
        <v>100.85726876038348</v>
      </c>
    </row>
    <row r="4" spans="1:10" ht="6" customHeight="1">
      <c r="A4" s="179"/>
      <c r="B4" s="182" t="s">
        <v>53</v>
      </c>
      <c r="C4" s="187"/>
      <c r="D4" s="187"/>
      <c r="E4" s="187"/>
      <c r="F4" s="187"/>
      <c r="G4" s="187"/>
      <c r="H4" s="187"/>
      <c r="I4" s="187"/>
      <c r="J4" s="187"/>
    </row>
    <row r="5" spans="1:10" ht="15" customHeight="1">
      <c r="A5" s="183">
        <v>2</v>
      </c>
      <c r="B5" s="184" t="s">
        <v>365</v>
      </c>
      <c r="C5" s="201">
        <f>C7-C11-C13-C14+C8-C9+C12</f>
        <v>20783</v>
      </c>
      <c r="D5" s="201">
        <f>D7-D11-D13-D14+D8-D9+D12</f>
        <v>20833.868</v>
      </c>
      <c r="E5" s="201">
        <f aca="true" t="shared" si="2" ref="E5:J5">E7-E11-E13-E14+E8-E9+E12</f>
        <v>20864.23</v>
      </c>
      <c r="F5" s="201">
        <f t="shared" si="2"/>
        <v>21308.592</v>
      </c>
      <c r="G5" s="201">
        <f t="shared" si="2"/>
        <v>21378.954</v>
      </c>
      <c r="H5" s="201">
        <f t="shared" si="2"/>
        <v>21511.914</v>
      </c>
      <c r="I5" s="201">
        <f t="shared" si="2"/>
        <v>21673.276</v>
      </c>
      <c r="J5" s="201">
        <f t="shared" si="2"/>
        <v>21922.236</v>
      </c>
    </row>
    <row r="6" spans="1:10" ht="15" customHeight="1">
      <c r="A6" s="183"/>
      <c r="B6" s="182" t="s">
        <v>402</v>
      </c>
      <c r="C6" s="202">
        <f>C7+C8-C9</f>
        <v>22947</v>
      </c>
      <c r="D6" s="202">
        <f aca="true" t="shared" si="3" ref="D6:J6">D7+D8-D9</f>
        <v>24081</v>
      </c>
      <c r="E6" s="202">
        <f t="shared" si="3"/>
        <v>24146</v>
      </c>
      <c r="F6" s="202">
        <f t="shared" si="3"/>
        <v>24656</v>
      </c>
      <c r="G6" s="202">
        <f t="shared" si="3"/>
        <v>24735</v>
      </c>
      <c r="H6" s="202">
        <f t="shared" si="3"/>
        <v>24922</v>
      </c>
      <c r="I6" s="202">
        <f t="shared" si="3"/>
        <v>25197</v>
      </c>
      <c r="J6" s="202">
        <f t="shared" si="3"/>
        <v>25440</v>
      </c>
    </row>
    <row r="7" spans="1:10" ht="12.75">
      <c r="A7" s="179"/>
      <c r="B7" s="219" t="s">
        <v>401</v>
      </c>
      <c r="C7" s="220">
        <v>22947</v>
      </c>
      <c r="D7" s="220">
        <v>23758</v>
      </c>
      <c r="E7" s="220">
        <v>23855</v>
      </c>
      <c r="F7" s="220">
        <v>24383</v>
      </c>
      <c r="G7" s="220">
        <v>24492</v>
      </c>
      <c r="H7" s="220">
        <v>24664</v>
      </c>
      <c r="I7" s="220">
        <v>24985</v>
      </c>
      <c r="J7" s="220">
        <v>25220</v>
      </c>
    </row>
    <row r="8" spans="1:10" ht="12.75">
      <c r="A8" s="179"/>
      <c r="B8" s="219" t="s">
        <v>388</v>
      </c>
      <c r="C8" s="238"/>
      <c r="D8" s="220">
        <v>528</v>
      </c>
      <c r="E8" s="220">
        <v>482</v>
      </c>
      <c r="F8" s="220">
        <v>460</v>
      </c>
      <c r="G8" s="220">
        <v>430</v>
      </c>
      <c r="H8" s="220">
        <v>445</v>
      </c>
      <c r="I8" s="220">
        <v>399</v>
      </c>
      <c r="J8" s="220">
        <v>407</v>
      </c>
    </row>
    <row r="9" spans="1:10" ht="12.75">
      <c r="A9" s="179"/>
      <c r="B9" s="219" t="s">
        <v>387</v>
      </c>
      <c r="C9" s="238"/>
      <c r="D9" s="220">
        <v>205</v>
      </c>
      <c r="E9" s="220">
        <v>191</v>
      </c>
      <c r="F9" s="220">
        <v>187</v>
      </c>
      <c r="G9" s="220">
        <v>187</v>
      </c>
      <c r="H9" s="220">
        <v>187</v>
      </c>
      <c r="I9" s="220">
        <v>187</v>
      </c>
      <c r="J9" s="220">
        <v>187</v>
      </c>
    </row>
    <row r="10" spans="1:10" ht="12.75">
      <c r="A10" s="179"/>
      <c r="B10" s="219"/>
      <c r="C10" s="220"/>
      <c r="D10" s="221">
        <f aca="true" t="shared" si="4" ref="D10:J10">D7/C7*100</f>
        <v>103.5342310541683</v>
      </c>
      <c r="E10" s="221">
        <f t="shared" si="4"/>
        <v>100.4082835255493</v>
      </c>
      <c r="F10" s="221">
        <f t="shared" si="4"/>
        <v>102.21337245860407</v>
      </c>
      <c r="G10" s="221">
        <f t="shared" si="4"/>
        <v>100.4470327687323</v>
      </c>
      <c r="H10" s="221">
        <f t="shared" si="4"/>
        <v>100.70227012902173</v>
      </c>
      <c r="I10" s="221">
        <f t="shared" si="4"/>
        <v>101.30149205319495</v>
      </c>
      <c r="J10" s="221">
        <f t="shared" si="4"/>
        <v>100.94056433860317</v>
      </c>
    </row>
    <row r="11" spans="1:10" ht="15" customHeight="1">
      <c r="A11" s="179"/>
      <c r="B11" s="182" t="s">
        <v>393</v>
      </c>
      <c r="C11" s="229"/>
      <c r="D11" s="187">
        <f>2366*0.5</f>
        <v>1183</v>
      </c>
      <c r="E11" s="202">
        <f>2385*0.5</f>
        <v>1192.5</v>
      </c>
      <c r="F11" s="187">
        <f>2404*0.5</f>
        <v>1202</v>
      </c>
      <c r="G11" s="202">
        <f>2423*0.5</f>
        <v>1211.5</v>
      </c>
      <c r="H11" s="202">
        <f>2443*0.5</f>
        <v>1221.5</v>
      </c>
      <c r="I11" s="187">
        <f>2462*0.5</f>
        <v>1231</v>
      </c>
      <c r="J11" s="187">
        <f>2482*0.5</f>
        <v>1241</v>
      </c>
    </row>
    <row r="12" spans="1:10" ht="13.5" customHeight="1">
      <c r="A12" s="179"/>
      <c r="B12" s="182" t="s">
        <v>390</v>
      </c>
      <c r="C12" s="229"/>
      <c r="D12" s="202">
        <f>D11*0.196</f>
        <v>231.868</v>
      </c>
      <c r="E12" s="202">
        <f aca="true" t="shared" si="5" ref="E12:J12">E11*0.196</f>
        <v>233.73000000000002</v>
      </c>
      <c r="F12" s="202">
        <f t="shared" si="5"/>
        <v>235.592</v>
      </c>
      <c r="G12" s="202">
        <f t="shared" si="5"/>
        <v>237.454</v>
      </c>
      <c r="H12" s="202">
        <f t="shared" si="5"/>
        <v>239.41400000000002</v>
      </c>
      <c r="I12" s="202">
        <f t="shared" si="5"/>
        <v>241.276</v>
      </c>
      <c r="J12" s="202">
        <f t="shared" si="5"/>
        <v>243.23600000000002</v>
      </c>
    </row>
    <row r="13" spans="1:10" ht="12.75">
      <c r="A13" s="179"/>
      <c r="B13" s="182" t="s">
        <v>400</v>
      </c>
      <c r="C13" s="187">
        <v>1041</v>
      </c>
      <c r="D13" s="187">
        <v>1156</v>
      </c>
      <c r="E13" s="187">
        <v>1164</v>
      </c>
      <c r="F13" s="187">
        <v>1184</v>
      </c>
      <c r="G13" s="187">
        <v>1189</v>
      </c>
      <c r="H13" s="187">
        <v>1252</v>
      </c>
      <c r="I13" s="187">
        <v>1345</v>
      </c>
      <c r="J13" s="187">
        <v>1334</v>
      </c>
    </row>
    <row r="14" spans="1:10" ht="12.75">
      <c r="A14" s="179"/>
      <c r="B14" s="182" t="s">
        <v>386</v>
      </c>
      <c r="C14" s="230">
        <f>518+121+484</f>
        <v>1123</v>
      </c>
      <c r="D14" s="187">
        <f>529+127+484</f>
        <v>1140</v>
      </c>
      <c r="E14" s="187">
        <f>529+146+484</f>
        <v>1159</v>
      </c>
      <c r="F14" s="187">
        <f>529+184+484</f>
        <v>1197</v>
      </c>
      <c r="G14" s="187">
        <f>529+180+484</f>
        <v>1193</v>
      </c>
      <c r="H14" s="187">
        <f>529+163+484</f>
        <v>1176</v>
      </c>
      <c r="I14" s="187">
        <f>529+176+484</f>
        <v>1189</v>
      </c>
      <c r="J14" s="187">
        <f>529+173+484</f>
        <v>1186</v>
      </c>
    </row>
    <row r="15" spans="3:10" ht="6" customHeight="1">
      <c r="C15" s="165"/>
      <c r="D15" s="165"/>
      <c r="E15" s="165"/>
      <c r="F15" s="165"/>
      <c r="G15" s="165"/>
      <c r="H15" s="165"/>
      <c r="I15" s="165"/>
      <c r="J15" s="165"/>
    </row>
    <row r="16" spans="3:10" ht="0.75" customHeight="1">
      <c r="C16" s="165"/>
      <c r="D16" s="165"/>
      <c r="E16" s="165"/>
      <c r="F16" s="165"/>
      <c r="G16" s="165"/>
      <c r="H16" s="165"/>
      <c r="I16" s="165"/>
      <c r="J16" s="165"/>
    </row>
    <row r="17" spans="1:10" ht="3" customHeight="1">
      <c r="A17" s="179"/>
      <c r="B17" s="182"/>
      <c r="C17" s="187"/>
      <c r="D17" s="187"/>
      <c r="E17" s="187"/>
      <c r="F17" s="187"/>
      <c r="G17" s="187"/>
      <c r="H17" s="187"/>
      <c r="I17" s="187"/>
      <c r="J17" s="187"/>
    </row>
    <row r="18" spans="1:10" ht="12.75">
      <c r="A18" s="183">
        <v>3</v>
      </c>
      <c r="B18" s="184" t="s">
        <v>366</v>
      </c>
      <c r="C18" s="204">
        <v>400</v>
      </c>
      <c r="D18" s="204">
        <v>400</v>
      </c>
      <c r="E18" s="204">
        <v>400</v>
      </c>
      <c r="F18" s="204">
        <v>400</v>
      </c>
      <c r="G18" s="204">
        <v>400</v>
      </c>
      <c r="H18" s="204">
        <v>400</v>
      </c>
      <c r="I18" s="204">
        <v>400</v>
      </c>
      <c r="J18" s="204">
        <v>400</v>
      </c>
    </row>
    <row r="19" spans="1:10" ht="14.25" customHeight="1">
      <c r="A19" s="183">
        <v>4</v>
      </c>
      <c r="B19" s="184" t="s">
        <v>367</v>
      </c>
      <c r="C19" s="188">
        <f>C21+C22</f>
        <v>2385</v>
      </c>
      <c r="D19" s="201">
        <f>D21+D22</f>
        <v>2351.82</v>
      </c>
      <c r="E19" s="201">
        <f aca="true" t="shared" si="6" ref="E19:J19">E21+E22</f>
        <v>2230</v>
      </c>
      <c r="F19" s="201">
        <f t="shared" si="6"/>
        <v>2251.4</v>
      </c>
      <c r="G19" s="201">
        <f t="shared" si="6"/>
        <v>2251.4</v>
      </c>
      <c r="H19" s="201">
        <f t="shared" si="6"/>
        <v>2332.8</v>
      </c>
      <c r="I19" s="201">
        <f t="shared" si="6"/>
        <v>2371.8</v>
      </c>
      <c r="J19" s="201">
        <f t="shared" si="6"/>
        <v>2332.4</v>
      </c>
    </row>
    <row r="20" spans="1:10" ht="12.75">
      <c r="A20" s="179"/>
      <c r="B20" s="182" t="s">
        <v>53</v>
      </c>
      <c r="C20" s="187"/>
      <c r="D20" s="187"/>
      <c r="E20" s="187"/>
      <c r="F20" s="187"/>
      <c r="G20" s="187"/>
      <c r="H20" s="187"/>
      <c r="I20" s="187"/>
      <c r="J20" s="187"/>
    </row>
    <row r="21" spans="1:10" ht="12.75">
      <c r="A21" s="179">
        <v>5</v>
      </c>
      <c r="B21" s="182" t="s">
        <v>389</v>
      </c>
      <c r="C21" s="187">
        <v>2185</v>
      </c>
      <c r="D21" s="202">
        <f>9781*0.22</f>
        <v>2151.82</v>
      </c>
      <c r="E21" s="202">
        <f>10150*0.2</f>
        <v>2030</v>
      </c>
      <c r="F21" s="202">
        <f>10257*0.2</f>
        <v>2051.4</v>
      </c>
      <c r="G21" s="202">
        <f>10257*0.2</f>
        <v>2051.4</v>
      </c>
      <c r="H21" s="202">
        <f>10664*0.2</f>
        <v>2132.8</v>
      </c>
      <c r="I21" s="202">
        <f>10859*0.2</f>
        <v>2171.8</v>
      </c>
      <c r="J21" s="202">
        <f>10662*0.2</f>
        <v>2132.4</v>
      </c>
    </row>
    <row r="22" spans="1:10" ht="12.75">
      <c r="A22" s="179">
        <v>6</v>
      </c>
      <c r="B22" s="182" t="s">
        <v>373</v>
      </c>
      <c r="C22" s="187">
        <v>200</v>
      </c>
      <c r="D22" s="187">
        <v>200</v>
      </c>
      <c r="E22" s="187">
        <v>200</v>
      </c>
      <c r="F22" s="187">
        <v>200</v>
      </c>
      <c r="G22" s="187">
        <v>200</v>
      </c>
      <c r="H22" s="187">
        <v>200</v>
      </c>
      <c r="I22" s="187">
        <v>200</v>
      </c>
      <c r="J22" s="187">
        <v>200</v>
      </c>
    </row>
    <row r="23" spans="1:10" ht="3.75" customHeight="1">
      <c r="A23" s="179"/>
      <c r="B23" s="182"/>
      <c r="C23" s="198"/>
      <c r="D23" s="187"/>
      <c r="E23" s="187"/>
      <c r="F23" s="187"/>
      <c r="G23" s="187"/>
      <c r="H23" s="187"/>
      <c r="I23" s="187"/>
      <c r="J23" s="187"/>
    </row>
    <row r="24" spans="1:10" ht="12.75">
      <c r="A24" s="180">
        <v>7</v>
      </c>
      <c r="B24" s="181" t="s">
        <v>368</v>
      </c>
      <c r="C24" s="199">
        <f>C25+C48+C52</f>
        <v>21635</v>
      </c>
      <c r="D24" s="199">
        <f aca="true" t="shared" si="7" ref="D24:J24">D25+D48+D52</f>
        <v>21834</v>
      </c>
      <c r="E24" s="199">
        <f t="shared" si="7"/>
        <v>21547</v>
      </c>
      <c r="F24" s="199">
        <f t="shared" si="7"/>
        <v>21625</v>
      </c>
      <c r="G24" s="199">
        <f t="shared" si="7"/>
        <v>21648</v>
      </c>
      <c r="H24" s="199">
        <f t="shared" si="7"/>
        <v>21712</v>
      </c>
      <c r="I24" s="199">
        <f t="shared" si="7"/>
        <v>21856</v>
      </c>
      <c r="J24" s="199">
        <f t="shared" si="7"/>
        <v>21863</v>
      </c>
    </row>
    <row r="25" spans="1:10" ht="27" customHeight="1">
      <c r="A25" s="183">
        <v>8</v>
      </c>
      <c r="B25" s="184" t="s">
        <v>371</v>
      </c>
      <c r="C25" s="203">
        <f>C28+C40+C45+C46</f>
        <v>19471</v>
      </c>
      <c r="D25" s="203">
        <f aca="true" t="shared" si="8" ref="D25:J25">D28+D40+D45+D46</f>
        <v>19538</v>
      </c>
      <c r="E25" s="203">
        <f t="shared" si="8"/>
        <v>19224</v>
      </c>
      <c r="F25" s="203">
        <f t="shared" si="8"/>
        <v>19244</v>
      </c>
      <c r="G25" s="203">
        <f t="shared" si="8"/>
        <v>19266</v>
      </c>
      <c r="H25" s="203">
        <f t="shared" si="8"/>
        <v>19284</v>
      </c>
      <c r="I25" s="203">
        <f t="shared" si="8"/>
        <v>19322</v>
      </c>
      <c r="J25" s="203">
        <f t="shared" si="8"/>
        <v>19343</v>
      </c>
    </row>
    <row r="26" spans="1:10" ht="11.25" customHeight="1">
      <c r="A26" s="183"/>
      <c r="B26" s="184"/>
      <c r="C26" s="203"/>
      <c r="D26" s="211">
        <f aca="true" t="shared" si="9" ref="D26:J26">D25/C25*100</f>
        <v>100.34410148425866</v>
      </c>
      <c r="E26" s="211">
        <f t="shared" si="9"/>
        <v>98.39287542225406</v>
      </c>
      <c r="F26" s="211">
        <f t="shared" si="9"/>
        <v>100.10403662089055</v>
      </c>
      <c r="G26" s="211">
        <f t="shared" si="9"/>
        <v>100.11432134691331</v>
      </c>
      <c r="H26" s="211">
        <f t="shared" si="9"/>
        <v>100.09342883836811</v>
      </c>
      <c r="I26" s="211">
        <f t="shared" si="9"/>
        <v>100.1970545529973</v>
      </c>
      <c r="J26" s="211">
        <f t="shared" si="9"/>
        <v>100.1086844012007</v>
      </c>
    </row>
    <row r="27" spans="1:10" ht="12" customHeight="1">
      <c r="A27" s="183"/>
      <c r="B27" s="184"/>
      <c r="C27" s="203"/>
      <c r="D27" s="203">
        <v>100.27</v>
      </c>
      <c r="E27" s="203">
        <v>100.14</v>
      </c>
      <c r="F27" s="203">
        <v>100.14</v>
      </c>
      <c r="G27" s="203">
        <v>100.14</v>
      </c>
      <c r="H27" s="203">
        <v>100.14</v>
      </c>
      <c r="I27" s="203">
        <v>100.27</v>
      </c>
      <c r="J27" s="203">
        <v>100.14</v>
      </c>
    </row>
    <row r="28" spans="1:10" ht="12.75">
      <c r="A28" s="185"/>
      <c r="B28" s="186" t="s">
        <v>376</v>
      </c>
      <c r="C28" s="204">
        <f>C33+C38+C39+C35</f>
        <v>11600</v>
      </c>
      <c r="D28" s="204">
        <f>D33+D38+D39+D35</f>
        <v>12258</v>
      </c>
      <c r="E28" s="204">
        <f aca="true" t="shared" si="10" ref="E28:J28">E33+E38+E39+E35</f>
        <v>12276</v>
      </c>
      <c r="F28" s="204">
        <f t="shared" si="10"/>
        <v>12293</v>
      </c>
      <c r="G28" s="204">
        <f t="shared" si="10"/>
        <v>12310</v>
      </c>
      <c r="H28" s="204">
        <f t="shared" si="10"/>
        <v>12327</v>
      </c>
      <c r="I28" s="204">
        <f t="shared" si="10"/>
        <v>12360</v>
      </c>
      <c r="J28" s="204">
        <f t="shared" si="10"/>
        <v>12377</v>
      </c>
    </row>
    <row r="29" spans="1:10" ht="12.75">
      <c r="A29" s="208"/>
      <c r="B29" s="209"/>
      <c r="C29" s="210"/>
      <c r="D29" s="211">
        <f>D28/C28*100</f>
        <v>105.67241379310346</v>
      </c>
      <c r="E29" s="211">
        <f aca="true" t="shared" si="11" ref="E29:J29">E28/D28*100</f>
        <v>100.14684287812041</v>
      </c>
      <c r="F29" s="211">
        <f t="shared" si="11"/>
        <v>100.13848159009449</v>
      </c>
      <c r="G29" s="211">
        <f t="shared" si="11"/>
        <v>100.13829008378752</v>
      </c>
      <c r="H29" s="211">
        <f t="shared" si="11"/>
        <v>100.13809910641756</v>
      </c>
      <c r="I29" s="211">
        <f t="shared" si="11"/>
        <v>100.26770503772207</v>
      </c>
      <c r="J29" s="211">
        <f t="shared" si="11"/>
        <v>100.13754045307444</v>
      </c>
    </row>
    <row r="30" spans="1:10" ht="7.5" customHeight="1">
      <c r="A30" s="179"/>
      <c r="B30" s="182" t="s">
        <v>377</v>
      </c>
      <c r="C30" s="198"/>
      <c r="D30" s="187"/>
      <c r="E30" s="187"/>
      <c r="F30" s="187"/>
      <c r="G30" s="187"/>
      <c r="H30" s="187"/>
      <c r="I30" s="187"/>
      <c r="J30" s="187"/>
    </row>
    <row r="31" spans="1:10" ht="6.75" customHeight="1">
      <c r="A31" s="179"/>
      <c r="B31" s="182" t="s">
        <v>378</v>
      </c>
      <c r="C31" s="198"/>
      <c r="D31" s="187"/>
      <c r="E31" s="187"/>
      <c r="F31" s="187"/>
      <c r="G31" s="187"/>
      <c r="H31" s="187"/>
      <c r="I31" s="187"/>
      <c r="J31" s="187"/>
    </row>
    <row r="32" spans="1:10" ht="6" customHeight="1">
      <c r="A32" s="179"/>
      <c r="B32" s="182" t="s">
        <v>379</v>
      </c>
      <c r="C32" s="198"/>
      <c r="D32" s="187"/>
      <c r="E32" s="187"/>
      <c r="F32" s="187"/>
      <c r="G32" s="187"/>
      <c r="H32" s="187"/>
      <c r="I32" s="187"/>
      <c r="J32" s="187"/>
    </row>
    <row r="33" spans="1:10" ht="12.75">
      <c r="A33" s="185"/>
      <c r="B33" s="186" t="s">
        <v>394</v>
      </c>
      <c r="C33" s="204">
        <v>9414</v>
      </c>
      <c r="D33" s="205">
        <v>10022</v>
      </c>
      <c r="E33" s="205">
        <v>10040</v>
      </c>
      <c r="F33" s="205">
        <v>10054</v>
      </c>
      <c r="G33" s="205">
        <v>10068</v>
      </c>
      <c r="H33" s="205">
        <v>10082</v>
      </c>
      <c r="I33" s="205">
        <v>10112</v>
      </c>
      <c r="J33" s="205">
        <v>10124</v>
      </c>
    </row>
    <row r="34" spans="1:10" ht="12.75">
      <c r="A34" s="185"/>
      <c r="B34" s="186"/>
      <c r="C34" s="204"/>
      <c r="D34" s="211">
        <f aca="true" t="shared" si="12" ref="D34:J34">D33/C33*100</f>
        <v>106.45846611429786</v>
      </c>
      <c r="E34" s="211">
        <f t="shared" si="12"/>
        <v>100.17960486928756</v>
      </c>
      <c r="F34" s="211">
        <f t="shared" si="12"/>
        <v>100.13944223107569</v>
      </c>
      <c r="G34" s="211">
        <f t="shared" si="12"/>
        <v>100.13924806047345</v>
      </c>
      <c r="H34" s="211">
        <f t="shared" si="12"/>
        <v>100.13905442987682</v>
      </c>
      <c r="I34" s="211">
        <f t="shared" si="12"/>
        <v>100.29756000793493</v>
      </c>
      <c r="J34" s="211">
        <f t="shared" si="12"/>
        <v>100.11867088607596</v>
      </c>
    </row>
    <row r="35" spans="1:10" ht="12.75">
      <c r="A35" s="185"/>
      <c r="B35" s="186" t="s">
        <v>397</v>
      </c>
      <c r="C35" s="204">
        <v>211</v>
      </c>
      <c r="D35" s="204">
        <v>211</v>
      </c>
      <c r="E35" s="204">
        <v>211</v>
      </c>
      <c r="F35" s="204">
        <v>211</v>
      </c>
      <c r="G35" s="204">
        <v>211</v>
      </c>
      <c r="H35" s="204">
        <v>211</v>
      </c>
      <c r="I35" s="204">
        <v>211</v>
      </c>
      <c r="J35" s="204">
        <v>211</v>
      </c>
    </row>
    <row r="36" spans="1:10" ht="12.75">
      <c r="A36" s="208"/>
      <c r="B36" s="209"/>
      <c r="C36" s="210">
        <f>C38+C39</f>
        <v>1975</v>
      </c>
      <c r="D36" s="210">
        <f aca="true" t="shared" si="13" ref="D36:J36">D38+D39</f>
        <v>2025</v>
      </c>
      <c r="E36" s="210">
        <f t="shared" si="13"/>
        <v>2025</v>
      </c>
      <c r="F36" s="210">
        <f t="shared" si="13"/>
        <v>2028</v>
      </c>
      <c r="G36" s="210">
        <f t="shared" si="13"/>
        <v>2031</v>
      </c>
      <c r="H36" s="210">
        <f t="shared" si="13"/>
        <v>2034</v>
      </c>
      <c r="I36" s="210">
        <f t="shared" si="13"/>
        <v>2037</v>
      </c>
      <c r="J36" s="210">
        <f t="shared" si="13"/>
        <v>2042</v>
      </c>
    </row>
    <row r="37" spans="1:10" ht="12.75">
      <c r="A37" s="208"/>
      <c r="B37" s="209"/>
      <c r="C37" s="210"/>
      <c r="D37" s="211">
        <f aca="true" t="shared" si="14" ref="D37:J37">D36/C36*100</f>
        <v>102.53164556962024</v>
      </c>
      <c r="E37" s="211">
        <f t="shared" si="14"/>
        <v>100</v>
      </c>
      <c r="F37" s="211">
        <f t="shared" si="14"/>
        <v>100.14814814814814</v>
      </c>
      <c r="G37" s="211">
        <f t="shared" si="14"/>
        <v>100.14792899408285</v>
      </c>
      <c r="H37" s="211">
        <f t="shared" si="14"/>
        <v>100.14771048744461</v>
      </c>
      <c r="I37" s="211">
        <f t="shared" si="14"/>
        <v>100.14749262536873</v>
      </c>
      <c r="J37" s="211">
        <f t="shared" si="14"/>
        <v>100.2454590083456</v>
      </c>
    </row>
    <row r="38" spans="1:10" ht="12.75">
      <c r="A38" s="185"/>
      <c r="B38" s="186" t="s">
        <v>395</v>
      </c>
      <c r="C38" s="204">
        <v>1080</v>
      </c>
      <c r="D38" s="205">
        <v>1067</v>
      </c>
      <c r="E38" s="205">
        <v>1067</v>
      </c>
      <c r="F38" s="205">
        <v>1067</v>
      </c>
      <c r="G38" s="205">
        <v>1067</v>
      </c>
      <c r="H38" s="205">
        <v>1067</v>
      </c>
      <c r="I38" s="205">
        <v>1067</v>
      </c>
      <c r="J38" s="205">
        <v>1067</v>
      </c>
    </row>
    <row r="39" spans="1:10" ht="12.75">
      <c r="A39" s="185"/>
      <c r="B39" s="186" t="s">
        <v>396</v>
      </c>
      <c r="C39" s="204">
        <v>895</v>
      </c>
      <c r="D39" s="205">
        <v>958</v>
      </c>
      <c r="E39" s="205">
        <v>958</v>
      </c>
      <c r="F39" s="205">
        <v>961</v>
      </c>
      <c r="G39" s="205">
        <v>964</v>
      </c>
      <c r="H39" s="205">
        <v>967</v>
      </c>
      <c r="I39" s="205">
        <v>970</v>
      </c>
      <c r="J39" s="205">
        <v>975</v>
      </c>
    </row>
    <row r="40" spans="1:10" ht="21" customHeight="1">
      <c r="A40" s="185"/>
      <c r="B40" s="218" t="s">
        <v>380</v>
      </c>
      <c r="C40" s="204">
        <f>C42+C43</f>
        <v>1766</v>
      </c>
      <c r="D40" s="204">
        <f>D42+D43</f>
        <v>1680</v>
      </c>
      <c r="E40" s="204">
        <f aca="true" t="shared" si="15" ref="E40:J40">E42+E43</f>
        <v>1683</v>
      </c>
      <c r="F40" s="204">
        <f t="shared" si="15"/>
        <v>1686</v>
      </c>
      <c r="G40" s="204">
        <f t="shared" si="15"/>
        <v>1691</v>
      </c>
      <c r="H40" s="204">
        <f t="shared" si="15"/>
        <v>1692</v>
      </c>
      <c r="I40" s="204">
        <f t="shared" si="15"/>
        <v>1697</v>
      </c>
      <c r="J40" s="204">
        <f t="shared" si="15"/>
        <v>1701</v>
      </c>
    </row>
    <row r="41" spans="1:10" ht="11.25" customHeight="1">
      <c r="A41" s="208"/>
      <c r="B41" s="209"/>
      <c r="C41" s="210"/>
      <c r="D41" s="211">
        <f aca="true" t="shared" si="16" ref="D41:J41">D40/C40*100</f>
        <v>95.13023782559456</v>
      </c>
      <c r="E41" s="211">
        <f t="shared" si="16"/>
        <v>100.17857142857143</v>
      </c>
      <c r="F41" s="211">
        <f t="shared" si="16"/>
        <v>100.17825311942958</v>
      </c>
      <c r="G41" s="211">
        <f t="shared" si="16"/>
        <v>100.29655990510082</v>
      </c>
      <c r="H41" s="211">
        <f t="shared" si="16"/>
        <v>100.05913660555885</v>
      </c>
      <c r="I41" s="211">
        <f t="shared" si="16"/>
        <v>100.29550827423168</v>
      </c>
      <c r="J41" s="211">
        <f t="shared" si="16"/>
        <v>100.23571007660577</v>
      </c>
    </row>
    <row r="42" spans="1:10" ht="12.75">
      <c r="A42" s="179"/>
      <c r="B42" s="182" t="s">
        <v>381</v>
      </c>
      <c r="C42" s="198">
        <v>900</v>
      </c>
      <c r="D42" s="187">
        <v>892</v>
      </c>
      <c r="E42" s="187">
        <v>844</v>
      </c>
      <c r="F42" s="187">
        <v>845</v>
      </c>
      <c r="G42" s="187">
        <v>848</v>
      </c>
      <c r="H42" s="187">
        <v>847</v>
      </c>
      <c r="I42" s="187">
        <v>849</v>
      </c>
      <c r="J42" s="187">
        <v>851</v>
      </c>
    </row>
    <row r="43" spans="1:10" ht="12.75">
      <c r="A43" s="179"/>
      <c r="B43" s="182" t="s">
        <v>382</v>
      </c>
      <c r="C43" s="198">
        <v>866</v>
      </c>
      <c r="D43" s="187">
        <f>749+39</f>
        <v>788</v>
      </c>
      <c r="E43" s="187">
        <v>839</v>
      </c>
      <c r="F43" s="187">
        <v>841</v>
      </c>
      <c r="G43" s="187">
        <v>843</v>
      </c>
      <c r="H43" s="187">
        <v>845</v>
      </c>
      <c r="I43" s="187">
        <v>848</v>
      </c>
      <c r="J43" s="187">
        <v>850</v>
      </c>
    </row>
    <row r="44" spans="1:10" ht="12.75">
      <c r="A44" s="179"/>
      <c r="B44" s="182" t="s">
        <v>383</v>
      </c>
      <c r="C44" s="198"/>
      <c r="D44" s="187"/>
      <c r="E44" s="187"/>
      <c r="F44" s="187"/>
      <c r="G44" s="187"/>
      <c r="H44" s="187"/>
      <c r="I44" s="187"/>
      <c r="J44" s="187"/>
    </row>
    <row r="45" spans="1:10" ht="12.75" customHeight="1">
      <c r="A45" s="185"/>
      <c r="B45" s="186" t="s">
        <v>384</v>
      </c>
      <c r="C45" s="204">
        <v>5705</v>
      </c>
      <c r="D45" s="204">
        <v>5200</v>
      </c>
      <c r="E45" s="204">
        <v>4865</v>
      </c>
      <c r="F45" s="204">
        <v>4865</v>
      </c>
      <c r="G45" s="204">
        <v>4865</v>
      </c>
      <c r="H45" s="204">
        <v>4865</v>
      </c>
      <c r="I45" s="204">
        <v>4865</v>
      </c>
      <c r="J45" s="204">
        <v>4865</v>
      </c>
    </row>
    <row r="46" spans="1:10" ht="12.75">
      <c r="A46" s="185"/>
      <c r="B46" s="186" t="s">
        <v>385</v>
      </c>
      <c r="C46" s="204">
        <v>400</v>
      </c>
      <c r="D46" s="204">
        <v>400</v>
      </c>
      <c r="E46" s="204">
        <v>400</v>
      </c>
      <c r="F46" s="204">
        <v>400</v>
      </c>
      <c r="G46" s="204">
        <v>400</v>
      </c>
      <c r="H46" s="204">
        <v>400</v>
      </c>
      <c r="I46" s="204">
        <v>400</v>
      </c>
      <c r="J46" s="204">
        <v>400</v>
      </c>
    </row>
    <row r="47" spans="1:10" ht="26.25" customHeight="1">
      <c r="A47" s="179"/>
      <c r="B47" s="182" t="s">
        <v>398</v>
      </c>
      <c r="C47" s="217">
        <f>(C38+C39+C40+82)/C2*100</f>
        <v>16.221147318397826</v>
      </c>
      <c r="D47" s="217">
        <f aca="true" t="shared" si="17" ref="D47:J47">(D38+D39+D40+82)/D2*100</f>
        <v>16.056347391689403</v>
      </c>
      <c r="E47" s="217">
        <f t="shared" si="17"/>
        <v>16.131620402115754</v>
      </c>
      <c r="F47" s="217">
        <f t="shared" si="17"/>
        <v>15.843077076152612</v>
      </c>
      <c r="G47" s="217">
        <f t="shared" si="17"/>
        <v>15.829979034016725</v>
      </c>
      <c r="H47" s="217">
        <f t="shared" si="17"/>
        <v>15.70651648025215</v>
      </c>
      <c r="I47" s="217">
        <f t="shared" si="17"/>
        <v>15.610505772205412</v>
      </c>
      <c r="J47" s="217">
        <f t="shared" si="17"/>
        <v>15.514323553590486</v>
      </c>
    </row>
    <row r="48" spans="1:10" ht="12.75" customHeight="1">
      <c r="A48" s="183">
        <v>9</v>
      </c>
      <c r="B48" s="184" t="s">
        <v>369</v>
      </c>
      <c r="C48" s="203">
        <f>C49+C50</f>
        <v>2164</v>
      </c>
      <c r="D48" s="203">
        <f aca="true" t="shared" si="18" ref="D48:J48">D49+D50</f>
        <v>2296</v>
      </c>
      <c r="E48" s="203">
        <f t="shared" si="18"/>
        <v>2323</v>
      </c>
      <c r="F48" s="203">
        <f t="shared" si="18"/>
        <v>2381</v>
      </c>
      <c r="G48" s="203">
        <f t="shared" si="18"/>
        <v>2382</v>
      </c>
      <c r="H48" s="203">
        <f t="shared" si="18"/>
        <v>2428</v>
      </c>
      <c r="I48" s="203">
        <f t="shared" si="18"/>
        <v>2534</v>
      </c>
      <c r="J48" s="203">
        <f t="shared" si="18"/>
        <v>2520</v>
      </c>
    </row>
    <row r="49" spans="1:10" ht="12.75" customHeight="1">
      <c r="A49" s="183"/>
      <c r="B49" s="182" t="s">
        <v>400</v>
      </c>
      <c r="C49" s="187">
        <v>1041</v>
      </c>
      <c r="D49" s="187">
        <v>1156</v>
      </c>
      <c r="E49" s="187">
        <v>1164</v>
      </c>
      <c r="F49" s="187">
        <v>1184</v>
      </c>
      <c r="G49" s="187">
        <v>1189</v>
      </c>
      <c r="H49" s="187">
        <v>1252</v>
      </c>
      <c r="I49" s="187">
        <v>1345</v>
      </c>
      <c r="J49" s="187">
        <v>1334</v>
      </c>
    </row>
    <row r="50" spans="1:10" ht="12.75" customHeight="1">
      <c r="A50" s="183"/>
      <c r="B50" s="182" t="s">
        <v>386</v>
      </c>
      <c r="C50" s="230">
        <f>518+121+484</f>
        <v>1123</v>
      </c>
      <c r="D50" s="187">
        <f>529+127+484</f>
        <v>1140</v>
      </c>
      <c r="E50" s="187">
        <f>529+146+484</f>
        <v>1159</v>
      </c>
      <c r="F50" s="187">
        <f>529+184+484</f>
        <v>1197</v>
      </c>
      <c r="G50" s="187">
        <f>529+180+484</f>
        <v>1193</v>
      </c>
      <c r="H50" s="187">
        <f>529+163+484</f>
        <v>1176</v>
      </c>
      <c r="I50" s="187">
        <f>529+176+484</f>
        <v>1189</v>
      </c>
      <c r="J50" s="187">
        <f>529+173+484</f>
        <v>1186</v>
      </c>
    </row>
    <row r="51" spans="1:10" ht="3" customHeight="1">
      <c r="A51" s="179"/>
      <c r="B51" s="182"/>
      <c r="C51" s="198"/>
      <c r="D51" s="187"/>
      <c r="E51" s="187"/>
      <c r="F51" s="187"/>
      <c r="G51" s="187"/>
      <c r="H51" s="187"/>
      <c r="I51" s="187"/>
      <c r="J51" s="187"/>
    </row>
    <row r="52" spans="1:10" ht="12.75" customHeight="1">
      <c r="A52" s="183">
        <v>10</v>
      </c>
      <c r="B52" s="184" t="s">
        <v>370</v>
      </c>
      <c r="C52" s="203"/>
      <c r="D52" s="188"/>
      <c r="E52" s="188"/>
      <c r="F52" s="188"/>
      <c r="G52" s="188"/>
      <c r="H52" s="188"/>
      <c r="I52" s="188"/>
      <c r="J52" s="188"/>
    </row>
    <row r="53" spans="1:10" ht="5.25" customHeight="1">
      <c r="A53" s="179"/>
      <c r="B53" s="182"/>
      <c r="C53" s="198"/>
      <c r="D53" s="187"/>
      <c r="E53" s="187"/>
      <c r="F53" s="187"/>
      <c r="G53" s="187"/>
      <c r="H53" s="187"/>
      <c r="I53" s="187"/>
      <c r="J53" s="187"/>
    </row>
    <row r="54" spans="1:10" ht="23.25" customHeight="1">
      <c r="A54" s="179">
        <v>11</v>
      </c>
      <c r="B54" s="182" t="s">
        <v>374</v>
      </c>
      <c r="C54" s="198"/>
      <c r="D54" s="187"/>
      <c r="E54" s="187"/>
      <c r="F54" s="187"/>
      <c r="G54" s="187"/>
      <c r="H54" s="187"/>
      <c r="I54" s="187"/>
      <c r="J54" s="187"/>
    </row>
    <row r="55" spans="1:10" ht="3.75" customHeight="1">
      <c r="A55" s="179"/>
      <c r="B55" s="182"/>
      <c r="C55" s="198"/>
      <c r="D55" s="187"/>
      <c r="E55" s="187"/>
      <c r="F55" s="187"/>
      <c r="G55" s="187"/>
      <c r="H55" s="187"/>
      <c r="I55" s="187"/>
      <c r="J55" s="187"/>
    </row>
    <row r="56" spans="1:10" ht="12.75">
      <c r="A56" s="179">
        <v>12</v>
      </c>
      <c r="B56" s="182" t="s">
        <v>375</v>
      </c>
      <c r="C56" s="198"/>
      <c r="D56" s="187"/>
      <c r="E56" s="187"/>
      <c r="F56" s="187"/>
      <c r="G56" s="187"/>
      <c r="H56" s="187"/>
      <c r="I56" s="187"/>
      <c r="J56" s="187"/>
    </row>
    <row r="57" spans="1:10" ht="12.75">
      <c r="A57" s="179"/>
      <c r="B57" s="179" t="s">
        <v>63</v>
      </c>
      <c r="C57" s="217">
        <f>C25/C2*100</f>
        <v>82.61625933469111</v>
      </c>
      <c r="D57" s="217">
        <f aca="true" t="shared" si="19" ref="D57:J57">D25/D2*100</f>
        <v>82.83837215178968</v>
      </c>
      <c r="E57" s="217">
        <f t="shared" si="19"/>
        <v>81.82434580745996</v>
      </c>
      <c r="F57" s="217">
        <f t="shared" si="19"/>
        <v>80.31722214264512</v>
      </c>
      <c r="G57" s="217">
        <f t="shared" si="19"/>
        <v>80.17360043884496</v>
      </c>
      <c r="H57" s="217">
        <f t="shared" si="19"/>
        <v>79.53898734379791</v>
      </c>
      <c r="I57" s="217">
        <f t="shared" si="19"/>
        <v>79.04250328368788</v>
      </c>
      <c r="J57" s="217">
        <f t="shared" si="19"/>
        <v>78.45583280969956</v>
      </c>
    </row>
    <row r="58" spans="1:10" ht="14.25" customHeight="1">
      <c r="A58" s="179"/>
      <c r="B58" s="182" t="s">
        <v>67</v>
      </c>
      <c r="C58" s="217">
        <f>C25/C6*100</f>
        <v>84.85205037695559</v>
      </c>
      <c r="D58" s="217">
        <f aca="true" t="shared" si="20" ref="D58:J58">D25/D6*100</f>
        <v>81.13450438104731</v>
      </c>
      <c r="E58" s="217">
        <f t="shared" si="20"/>
        <v>79.61567133272591</v>
      </c>
      <c r="F58" s="217">
        <f t="shared" si="20"/>
        <v>78.04996755353667</v>
      </c>
      <c r="G58" s="217">
        <f t="shared" si="20"/>
        <v>77.88963007883567</v>
      </c>
      <c r="H58" s="217">
        <f t="shared" si="20"/>
        <v>77.37741754273333</v>
      </c>
      <c r="I58" s="217">
        <f t="shared" si="20"/>
        <v>76.68373219034011</v>
      </c>
      <c r="J58" s="217">
        <f t="shared" si="20"/>
        <v>76.03380503144655</v>
      </c>
    </row>
  </sheetData>
  <sheetProtection/>
  <printOptions/>
  <pageMargins left="0.31496062992125984" right="0.35433070866141736" top="0.35433070866141736" bottom="0.31496062992125984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ksr-2</cp:lastModifiedBy>
  <cp:lastPrinted>2019-10-28T14:46:52Z</cp:lastPrinted>
  <dcterms:created xsi:type="dcterms:W3CDTF">2013-05-25T16:45:04Z</dcterms:created>
  <dcterms:modified xsi:type="dcterms:W3CDTF">2019-10-28T14:47:46Z</dcterms:modified>
  <cp:category/>
  <cp:version/>
  <cp:contentType/>
  <cp:contentStatus/>
</cp:coreProperties>
</file>